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showInkAnnotation="0" codeName="ThisWorkbook" autoCompressPictures="0"/>
  <mc:AlternateContent xmlns:mc="http://schemas.openxmlformats.org/markup-compatibility/2006">
    <mc:Choice Requires="x15">
      <x15ac:absPath xmlns:x15ac="http://schemas.microsoft.com/office/spreadsheetml/2010/11/ac" url="G:\EICC revised\"/>
    </mc:Choice>
  </mc:AlternateContent>
  <workbookProtection workbookPassword="E985" lockStructure="1"/>
  <bookViews>
    <workbookView xWindow="0" yWindow="0" windowWidth="28800" windowHeight="12360"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Smelter Reference List" sheetId="14" r:id="rId8"/>
    <sheet name="L" sheetId="13" state="hidden" r:id="rId9"/>
    <sheet name="C" sheetId="15" state="hidden" r:id="rId10"/>
  </sheets>
  <definedNames>
    <definedName name="_xlnm._FilterDatabase" localSheetId="5" hidden="1">Checker!$B$3:$C$67</definedName>
    <definedName name="_xlnm._FilterDatabase" localSheetId="4" hidden="1">'Smelter List'!$B$4:$Q$4</definedName>
    <definedName name="_xlnm._FilterDatabase" localSheetId="7" hidden="1">'Smelter Reference List'!$A$4:$K$544</definedName>
    <definedName name="CL" comment="CountryList">'C'!$A$2:$A$240</definedName>
    <definedName name="LN" comment="language list for dropdown">L!$D$1:$M$1</definedName>
    <definedName name="Metal" comment="metal list for dropdown" localSheetId="4">'Smelter List'!$T$3:$W$3</definedName>
    <definedName name="MetalSmelter">'Smelter Reference List'!$J$5:$J$1017</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'Smelter Reference List'!$L$5:$L$338</definedName>
    <definedName name="SmelterIdetifiedForMetal">'Smelter List'!$B$5:$B$1287</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71027"/>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281" i="14" l="1"/>
  <c r="K281" i="14"/>
  <c r="B1282" i="16"/>
  <c r="C1282" i="16"/>
  <c r="S1282" i="16" s="1"/>
  <c r="C966" i="16"/>
  <c r="S966" i="16" s="1"/>
  <c r="E966" i="16" s="1"/>
  <c r="B966" i="16"/>
  <c r="P3" i="4"/>
  <c r="J195" i="14"/>
  <c r="K195" i="14"/>
  <c r="K244" i="14"/>
  <c r="J244" i="14"/>
  <c r="K243" i="14"/>
  <c r="J243" i="14"/>
  <c r="K309" i="14"/>
  <c r="J309" i="14"/>
  <c r="K308" i="14"/>
  <c r="J308" i="14"/>
  <c r="K465" i="14"/>
  <c r="J465" i="14"/>
  <c r="K464" i="14"/>
  <c r="J464" i="14"/>
  <c r="C260" i="16"/>
  <c r="C261" i="16"/>
  <c r="S261" i="16" s="1"/>
  <c r="C262" i="16"/>
  <c r="C263" i="16"/>
  <c r="C264" i="16"/>
  <c r="S264" i="16" s="1"/>
  <c r="C265" i="16"/>
  <c r="C266" i="16"/>
  <c r="S266" i="16" s="1"/>
  <c r="C267" i="16"/>
  <c r="C268" i="16"/>
  <c r="C269" i="16"/>
  <c r="S269" i="16" s="1"/>
  <c r="C270" i="16"/>
  <c r="C271" i="16"/>
  <c r="C272" i="16"/>
  <c r="C273" i="16"/>
  <c r="C274" i="16"/>
  <c r="C275" i="16"/>
  <c r="C276" i="16"/>
  <c r="S276" i="16" s="1"/>
  <c r="F276" i="16" s="1"/>
  <c r="C277" i="16"/>
  <c r="C278" i="16"/>
  <c r="C279" i="16"/>
  <c r="C280" i="16"/>
  <c r="S280" i="16" s="1"/>
  <c r="C281" i="16"/>
  <c r="C282" i="16"/>
  <c r="C283" i="16"/>
  <c r="C284" i="16"/>
  <c r="S284" i="16" s="1"/>
  <c r="D284" i="16" s="1"/>
  <c r="C285" i="16"/>
  <c r="S285" i="16" s="1"/>
  <c r="C286" i="16"/>
  <c r="C287" i="16"/>
  <c r="C288" i="16"/>
  <c r="S288" i="16" s="1"/>
  <c r="F288" i="16" s="1"/>
  <c r="C289" i="16"/>
  <c r="S289" i="16" s="1"/>
  <c r="C290" i="16"/>
  <c r="S290" i="16" s="1"/>
  <c r="C291" i="16"/>
  <c r="C292" i="16"/>
  <c r="S292" i="16" s="1"/>
  <c r="C293" i="16"/>
  <c r="C294" i="16"/>
  <c r="C295" i="16"/>
  <c r="S295" i="16" s="1"/>
  <c r="E295" i="16" s="1"/>
  <c r="C296" i="16"/>
  <c r="S296" i="16" s="1"/>
  <c r="C297" i="16"/>
  <c r="C298" i="16"/>
  <c r="S298" i="16" s="1"/>
  <c r="C299" i="16"/>
  <c r="C300" i="16"/>
  <c r="C301" i="16"/>
  <c r="S301" i="16" s="1"/>
  <c r="C302" i="16"/>
  <c r="C303" i="16"/>
  <c r="S303" i="16" s="1"/>
  <c r="E303" i="16" s="1"/>
  <c r="C304" i="16"/>
  <c r="S304" i="16" s="1"/>
  <c r="C305" i="16"/>
  <c r="C306" i="16"/>
  <c r="C307" i="16"/>
  <c r="C308" i="16"/>
  <c r="S308" i="16" s="1"/>
  <c r="C309" i="16"/>
  <c r="C310" i="16"/>
  <c r="C311" i="16"/>
  <c r="C312" i="16"/>
  <c r="C313" i="16"/>
  <c r="C314" i="16"/>
  <c r="S314" i="16" s="1"/>
  <c r="C315" i="16"/>
  <c r="C316" i="16"/>
  <c r="S316" i="16" s="1"/>
  <c r="C317" i="16"/>
  <c r="S317" i="16" s="1"/>
  <c r="I317" i="16" s="1"/>
  <c r="C318" i="16"/>
  <c r="C319" i="16"/>
  <c r="S319" i="16" s="1"/>
  <c r="C320" i="16"/>
  <c r="S320" i="16" s="1"/>
  <c r="J320" i="16" s="1"/>
  <c r="C321" i="16"/>
  <c r="C322" i="16"/>
  <c r="S322" i="16" s="1"/>
  <c r="C323" i="16"/>
  <c r="C324" i="16"/>
  <c r="C325" i="16"/>
  <c r="S325" i="16" s="1"/>
  <c r="C326" i="16"/>
  <c r="C327" i="16"/>
  <c r="C328" i="16"/>
  <c r="C329" i="16"/>
  <c r="S329" i="16" s="1"/>
  <c r="D329" i="16" s="1"/>
  <c r="C330" i="16"/>
  <c r="C331" i="16"/>
  <c r="S331" i="16" s="1"/>
  <c r="C332" i="16"/>
  <c r="C333" i="16"/>
  <c r="S333" i="16" s="1"/>
  <c r="J333" i="16" s="1"/>
  <c r="C334" i="16"/>
  <c r="C335" i="16"/>
  <c r="C336" i="16"/>
  <c r="C337" i="16"/>
  <c r="C338" i="16"/>
  <c r="C339" i="16"/>
  <c r="S339" i="16" s="1"/>
  <c r="C340" i="16"/>
  <c r="S340" i="16" s="1"/>
  <c r="C341" i="16"/>
  <c r="C342" i="16"/>
  <c r="C343" i="16"/>
  <c r="S343" i="16" s="1"/>
  <c r="C344" i="16"/>
  <c r="S344" i="16" s="1"/>
  <c r="D344" i="16" s="1"/>
  <c r="C345" i="16"/>
  <c r="S345" i="16" s="1"/>
  <c r="I345" i="16" s="1"/>
  <c r="C346" i="16"/>
  <c r="S346" i="16" s="1"/>
  <c r="C347" i="16"/>
  <c r="C348" i="16"/>
  <c r="S348" i="16" s="1"/>
  <c r="D348" i="16" s="1"/>
  <c r="C349" i="16"/>
  <c r="C350" i="16"/>
  <c r="C351" i="16"/>
  <c r="C352" i="16"/>
  <c r="S352" i="16" s="1"/>
  <c r="C353" i="16"/>
  <c r="C354" i="16"/>
  <c r="C355" i="16"/>
  <c r="S355" i="16" s="1"/>
  <c r="F355" i="16" s="1"/>
  <c r="C356" i="16"/>
  <c r="S356" i="16" s="1"/>
  <c r="C357" i="16"/>
  <c r="C358" i="16"/>
  <c r="C359" i="16"/>
  <c r="S359" i="16" s="1"/>
  <c r="H359" i="16" s="1"/>
  <c r="C360" i="16"/>
  <c r="C361" i="16"/>
  <c r="S361" i="16" s="1"/>
  <c r="E361" i="16" s="1"/>
  <c r="C362" i="16"/>
  <c r="C363" i="16"/>
  <c r="C364" i="16"/>
  <c r="S364" i="16" s="1"/>
  <c r="C365" i="16"/>
  <c r="C366" i="16"/>
  <c r="C367" i="16"/>
  <c r="S367" i="16" s="1"/>
  <c r="C368" i="16"/>
  <c r="S368" i="16" s="1"/>
  <c r="C369" i="16"/>
  <c r="C370" i="16"/>
  <c r="S370" i="16" s="1"/>
  <c r="F370" i="16" s="1"/>
  <c r="C371" i="16"/>
  <c r="C372" i="16"/>
  <c r="S372" i="16" s="1"/>
  <c r="C373" i="16"/>
  <c r="C374" i="16"/>
  <c r="C375" i="16"/>
  <c r="S375" i="16" s="1"/>
  <c r="C376" i="16"/>
  <c r="S376" i="16" s="1"/>
  <c r="C377" i="16"/>
  <c r="C378" i="16"/>
  <c r="C379" i="16"/>
  <c r="C380" i="16"/>
  <c r="C381" i="16"/>
  <c r="C382" i="16"/>
  <c r="C383" i="16"/>
  <c r="S383" i="16" s="1"/>
  <c r="C384" i="16"/>
  <c r="C385" i="16"/>
  <c r="C386" i="16"/>
  <c r="C387" i="16"/>
  <c r="C388" i="16"/>
  <c r="C389" i="16"/>
  <c r="S389" i="16" s="1"/>
  <c r="C390" i="16"/>
  <c r="C391" i="16"/>
  <c r="C392" i="16"/>
  <c r="S392" i="16" s="1"/>
  <c r="C393" i="16"/>
  <c r="C394" i="16"/>
  <c r="C395" i="16"/>
  <c r="C396" i="16"/>
  <c r="S396" i="16" s="1"/>
  <c r="C397" i="16"/>
  <c r="C398" i="16"/>
  <c r="C399" i="16"/>
  <c r="S399" i="16" s="1"/>
  <c r="J399" i="16" s="1"/>
  <c r="C400" i="16"/>
  <c r="C401" i="16"/>
  <c r="C402" i="16"/>
  <c r="S402" i="16" s="1"/>
  <c r="C403" i="16"/>
  <c r="S403" i="16" s="1"/>
  <c r="C404" i="16"/>
  <c r="S404" i="16" s="1"/>
  <c r="C405" i="16"/>
  <c r="S405" i="16" s="1"/>
  <c r="C406" i="16"/>
  <c r="C407" i="16"/>
  <c r="C408" i="16"/>
  <c r="C409" i="16"/>
  <c r="C410" i="16"/>
  <c r="S410" i="16" s="1"/>
  <c r="C411" i="16"/>
  <c r="C412" i="16"/>
  <c r="S412" i="16" s="1"/>
  <c r="I412" i="16" s="1"/>
  <c r="C413" i="16"/>
  <c r="S413" i="16" s="1"/>
  <c r="C414" i="16"/>
  <c r="C415" i="16"/>
  <c r="C416" i="16"/>
  <c r="C417" i="16"/>
  <c r="C418" i="16"/>
  <c r="C419" i="16"/>
  <c r="C420" i="16"/>
  <c r="C421" i="16"/>
  <c r="C422" i="16"/>
  <c r="C423" i="16"/>
  <c r="C424" i="16"/>
  <c r="C425" i="16"/>
  <c r="C426" i="16"/>
  <c r="C427" i="16"/>
  <c r="C428" i="16"/>
  <c r="C429" i="16"/>
  <c r="S429" i="16" s="1"/>
  <c r="C430" i="16"/>
  <c r="C431" i="16"/>
  <c r="S431" i="16" s="1"/>
  <c r="E431" i="16" s="1"/>
  <c r="C432" i="16"/>
  <c r="C433" i="16"/>
  <c r="C434" i="16"/>
  <c r="S434" i="16" s="1"/>
  <c r="C435" i="16"/>
  <c r="C436" i="16"/>
  <c r="C437" i="16"/>
  <c r="S437" i="16" s="1"/>
  <c r="I437" i="16" s="1"/>
  <c r="C438" i="16"/>
  <c r="C439" i="16"/>
  <c r="S439" i="16" s="1"/>
  <c r="F439" i="16" s="1"/>
  <c r="C440" i="16"/>
  <c r="C441" i="16"/>
  <c r="C442" i="16"/>
  <c r="C443" i="16"/>
  <c r="C444" i="16"/>
  <c r="S444" i="16" s="1"/>
  <c r="D444" i="16" s="1"/>
  <c r="C445" i="16"/>
  <c r="S445" i="16" s="1"/>
  <c r="C446" i="16"/>
  <c r="C447" i="16"/>
  <c r="C448" i="16"/>
  <c r="C449" i="16"/>
  <c r="S449" i="16" s="1"/>
  <c r="E449" i="16" s="1"/>
  <c r="C450" i="16"/>
  <c r="C451" i="16"/>
  <c r="C452" i="16"/>
  <c r="C453" i="16"/>
  <c r="S453" i="16" s="1"/>
  <c r="H453" i="16" s="1"/>
  <c r="C454" i="16"/>
  <c r="C455" i="16"/>
  <c r="S455" i="16" s="1"/>
  <c r="I455" i="16" s="1"/>
  <c r="C456" i="16"/>
  <c r="C457" i="16"/>
  <c r="S457" i="16" s="1"/>
  <c r="C458" i="16"/>
  <c r="C459" i="16"/>
  <c r="C460" i="16"/>
  <c r="C461" i="16"/>
  <c r="C462" i="16"/>
  <c r="C463" i="16"/>
  <c r="C464" i="16"/>
  <c r="C465" i="16"/>
  <c r="S465" i="16" s="1"/>
  <c r="C466" i="16"/>
  <c r="C467" i="16"/>
  <c r="C468" i="16"/>
  <c r="S468" i="16" s="1"/>
  <c r="C469" i="16"/>
  <c r="S469" i="16" s="1"/>
  <c r="C470" i="16"/>
  <c r="C471" i="16"/>
  <c r="S471" i="16" s="1"/>
  <c r="C472" i="16"/>
  <c r="C473" i="16"/>
  <c r="S473" i="16" s="1"/>
  <c r="C474" i="16"/>
  <c r="C475" i="16"/>
  <c r="S475" i="16" s="1"/>
  <c r="J475" i="16" s="1"/>
  <c r="C476" i="16"/>
  <c r="C477" i="16"/>
  <c r="C478" i="16"/>
  <c r="C479" i="16"/>
  <c r="S479" i="16" s="1"/>
  <c r="C480" i="16"/>
  <c r="C481" i="16"/>
  <c r="C482" i="16"/>
  <c r="C483" i="16"/>
  <c r="S483" i="16" s="1"/>
  <c r="C484" i="16"/>
  <c r="S484" i="16" s="1"/>
  <c r="E484" i="16" s="1"/>
  <c r="C485" i="16"/>
  <c r="S485" i="16" s="1"/>
  <c r="G485" i="16" s="1"/>
  <c r="C486" i="16"/>
  <c r="C487" i="16"/>
  <c r="C488" i="16"/>
  <c r="C489" i="16"/>
  <c r="C490" i="16"/>
  <c r="S490" i="16" s="1"/>
  <c r="H490" i="16" s="1"/>
  <c r="C491" i="16"/>
  <c r="C492" i="16"/>
  <c r="C493" i="16"/>
  <c r="C494" i="16"/>
  <c r="C495" i="16"/>
  <c r="S495" i="16" s="1"/>
  <c r="C496" i="16"/>
  <c r="C497" i="16"/>
  <c r="S497" i="16" s="1"/>
  <c r="C498" i="16"/>
  <c r="C499" i="16"/>
  <c r="C500" i="16"/>
  <c r="C501" i="16"/>
  <c r="C502" i="16"/>
  <c r="C503" i="16"/>
  <c r="S503" i="16" s="1"/>
  <c r="C504" i="16"/>
  <c r="S504" i="16" s="1"/>
  <c r="J504" i="16" s="1"/>
  <c r="C505" i="16"/>
  <c r="C506" i="16"/>
  <c r="C507" i="16"/>
  <c r="S507" i="16" s="1"/>
  <c r="C508" i="16"/>
  <c r="S508" i="16" s="1"/>
  <c r="J508" i="16" s="1"/>
  <c r="C509" i="16"/>
  <c r="C510" i="16"/>
  <c r="C511" i="16"/>
  <c r="C512" i="16"/>
  <c r="S512" i="16" s="1"/>
  <c r="C513" i="16"/>
  <c r="C514" i="16"/>
  <c r="C515" i="16"/>
  <c r="S515" i="16" s="1"/>
  <c r="C516" i="16"/>
  <c r="C517" i="16"/>
  <c r="S517" i="16" s="1"/>
  <c r="D517" i="16" s="1"/>
  <c r="C518" i="16"/>
  <c r="C519" i="16"/>
  <c r="C520" i="16"/>
  <c r="C521" i="16"/>
  <c r="C522" i="16"/>
  <c r="C523" i="16"/>
  <c r="C524" i="16"/>
  <c r="C525" i="16"/>
  <c r="C526" i="16"/>
  <c r="C527" i="16"/>
  <c r="C528" i="16"/>
  <c r="S528" i="16" s="1"/>
  <c r="D528" i="16" s="1"/>
  <c r="C529" i="16"/>
  <c r="C530" i="16"/>
  <c r="C531" i="16"/>
  <c r="C532" i="16"/>
  <c r="S532" i="16" s="1"/>
  <c r="C533" i="16"/>
  <c r="S533" i="16" s="1"/>
  <c r="C534" i="16"/>
  <c r="C535" i="16"/>
  <c r="S535" i="16" s="1"/>
  <c r="I535" i="16" s="1"/>
  <c r="C536" i="16"/>
  <c r="C537" i="16"/>
  <c r="C538" i="16"/>
  <c r="C539" i="16"/>
  <c r="S539" i="16" s="1"/>
  <c r="C540" i="16"/>
  <c r="S540" i="16" s="1"/>
  <c r="C541" i="16"/>
  <c r="C542" i="16"/>
  <c r="C543" i="16"/>
  <c r="C544" i="16"/>
  <c r="C545" i="16"/>
  <c r="C546" i="16"/>
  <c r="C547" i="16"/>
  <c r="C548" i="16"/>
  <c r="S548" i="16" s="1"/>
  <c r="C549" i="16"/>
  <c r="C550" i="16"/>
  <c r="S550" i="16" s="1"/>
  <c r="C551" i="16"/>
  <c r="S551" i="16" s="1"/>
  <c r="C552" i="16"/>
  <c r="C553" i="16"/>
  <c r="S553" i="16" s="1"/>
  <c r="J553" i="16" s="1"/>
  <c r="C554" i="16"/>
  <c r="C555" i="16"/>
  <c r="C556" i="16"/>
  <c r="C557" i="16"/>
  <c r="S557" i="16" s="1"/>
  <c r="H557" i="16" s="1"/>
  <c r="C558" i="16"/>
  <c r="S558" i="16" s="1"/>
  <c r="C559" i="16"/>
  <c r="C560" i="16"/>
  <c r="C561" i="16"/>
  <c r="S561" i="16" s="1"/>
  <c r="F561" i="16" s="1"/>
  <c r="C562" i="16"/>
  <c r="S562" i="16" s="1"/>
  <c r="E562" i="16" s="1"/>
  <c r="C563" i="16"/>
  <c r="C564" i="16"/>
  <c r="S564" i="16" s="1"/>
  <c r="G564" i="16" s="1"/>
  <c r="C565" i="16"/>
  <c r="S565" i="16" s="1"/>
  <c r="D565" i="16" s="1"/>
  <c r="C566" i="16"/>
  <c r="C567" i="16"/>
  <c r="S567" i="16" s="1"/>
  <c r="E567" i="16" s="1"/>
  <c r="C568" i="16"/>
  <c r="S568" i="16" s="1"/>
  <c r="C569" i="16"/>
  <c r="C570" i="16"/>
  <c r="S570" i="16" s="1"/>
  <c r="H570" i="16" s="1"/>
  <c r="C571" i="16"/>
  <c r="C572" i="16"/>
  <c r="S572" i="16" s="1"/>
  <c r="C573" i="16"/>
  <c r="C574" i="16"/>
  <c r="C575" i="16"/>
  <c r="C576" i="16"/>
  <c r="S576" i="16" s="1"/>
  <c r="C577" i="16"/>
  <c r="S577" i="16" s="1"/>
  <c r="C578" i="16"/>
  <c r="C579" i="16"/>
  <c r="C580" i="16"/>
  <c r="S580" i="16" s="1"/>
  <c r="I580" i="16" s="1"/>
  <c r="C581" i="16"/>
  <c r="S581" i="16" s="1"/>
  <c r="J581" i="16" s="1"/>
  <c r="C582" i="16"/>
  <c r="C583" i="16"/>
  <c r="C584" i="16"/>
  <c r="C585" i="16"/>
  <c r="C586" i="16"/>
  <c r="C587" i="16"/>
  <c r="S587" i="16" s="1"/>
  <c r="C588" i="16"/>
  <c r="S588" i="16" s="1"/>
  <c r="F588" i="16" s="1"/>
  <c r="C589" i="16"/>
  <c r="S589" i="16" s="1"/>
  <c r="C590" i="16"/>
  <c r="C591" i="16"/>
  <c r="C592" i="16"/>
  <c r="C593" i="16"/>
  <c r="C594" i="16"/>
  <c r="C595" i="16"/>
  <c r="C596" i="16"/>
  <c r="C597" i="16"/>
  <c r="C598" i="16"/>
  <c r="C599" i="16"/>
  <c r="S599" i="16" s="1"/>
  <c r="E599" i="16" s="1"/>
  <c r="C600" i="16"/>
  <c r="C601" i="16"/>
  <c r="C602" i="16"/>
  <c r="C603" i="16"/>
  <c r="S603" i="16" s="1"/>
  <c r="C604" i="16"/>
  <c r="C605" i="16"/>
  <c r="S605" i="16" s="1"/>
  <c r="C606" i="16"/>
  <c r="C607" i="16"/>
  <c r="C608" i="16"/>
  <c r="C609" i="16"/>
  <c r="C610" i="16"/>
  <c r="C611" i="16"/>
  <c r="C612" i="16"/>
  <c r="C613" i="16"/>
  <c r="S613" i="16" s="1"/>
  <c r="C614" i="16"/>
  <c r="C615" i="16"/>
  <c r="C616" i="16"/>
  <c r="C617" i="16"/>
  <c r="C618" i="16"/>
  <c r="C619" i="16"/>
  <c r="C620" i="16"/>
  <c r="S620" i="16" s="1"/>
  <c r="C621" i="16"/>
  <c r="C622" i="16"/>
  <c r="C623" i="16"/>
  <c r="S623" i="16" s="1"/>
  <c r="C624" i="16"/>
  <c r="C625" i="16"/>
  <c r="C626" i="16"/>
  <c r="C627" i="16"/>
  <c r="C628" i="16"/>
  <c r="S628" i="16" s="1"/>
  <c r="C629" i="16"/>
  <c r="C630" i="16"/>
  <c r="S630" i="16" s="1"/>
  <c r="C631" i="16"/>
  <c r="S631" i="16" s="1"/>
  <c r="H631" i="16" s="1"/>
  <c r="C632" i="16"/>
  <c r="C633" i="16"/>
  <c r="S633" i="16" s="1"/>
  <c r="C634" i="16"/>
  <c r="C635" i="16"/>
  <c r="C636" i="16"/>
  <c r="S636" i="16" s="1"/>
  <c r="C637" i="16"/>
  <c r="C638" i="16"/>
  <c r="C639" i="16"/>
  <c r="C640" i="16"/>
  <c r="C641" i="16"/>
  <c r="C642" i="16"/>
  <c r="C643" i="16"/>
  <c r="S643" i="16" s="1"/>
  <c r="C644" i="16"/>
  <c r="S644" i="16" s="1"/>
  <c r="C645" i="16"/>
  <c r="C646" i="16"/>
  <c r="C647" i="16"/>
  <c r="S647" i="16" s="1"/>
  <c r="D647" i="16" s="1"/>
  <c r="C648" i="16"/>
  <c r="C649" i="16"/>
  <c r="C650" i="16"/>
  <c r="C651" i="16"/>
  <c r="C652" i="16"/>
  <c r="C653" i="16"/>
  <c r="C654" i="16"/>
  <c r="C655" i="16"/>
  <c r="C656" i="16"/>
  <c r="C657" i="16"/>
  <c r="C658" i="16"/>
  <c r="C659" i="16"/>
  <c r="S659" i="16" s="1"/>
  <c r="C660" i="16"/>
  <c r="S660" i="16" s="1"/>
  <c r="C661" i="16"/>
  <c r="C662" i="16"/>
  <c r="S662" i="16" s="1"/>
  <c r="C663" i="16"/>
  <c r="S663" i="16" s="1"/>
  <c r="D663" i="16" s="1"/>
  <c r="C664" i="16"/>
  <c r="C665" i="16"/>
  <c r="S665" i="16" s="1"/>
  <c r="F665" i="16" s="1"/>
  <c r="C666" i="16"/>
  <c r="C667" i="16"/>
  <c r="C668" i="16"/>
  <c r="S668" i="16" s="1"/>
  <c r="I668" i="16" s="1"/>
  <c r="C669" i="16"/>
  <c r="S669" i="16" s="1"/>
  <c r="C670" i="16"/>
  <c r="C671" i="16"/>
  <c r="C672" i="16"/>
  <c r="C673" i="16"/>
  <c r="C674" i="16"/>
  <c r="S674" i="16" s="1"/>
  <c r="I674" i="16" s="1"/>
  <c r="C675" i="16"/>
  <c r="C676" i="16"/>
  <c r="S676" i="16" s="1"/>
  <c r="C677" i="16"/>
  <c r="C678" i="16"/>
  <c r="C679" i="16"/>
  <c r="C680" i="16"/>
  <c r="C681" i="16"/>
  <c r="S681" i="16" s="1"/>
  <c r="C682" i="16"/>
  <c r="C683" i="16"/>
  <c r="C684" i="16"/>
  <c r="S684" i="16" s="1"/>
  <c r="C685" i="16"/>
  <c r="C686" i="16"/>
  <c r="C687" i="16"/>
  <c r="S687" i="16" s="1"/>
  <c r="C688" i="16"/>
  <c r="S688" i="16" s="1"/>
  <c r="E688" i="16" s="1"/>
  <c r="C689" i="16"/>
  <c r="C690" i="16"/>
  <c r="C691" i="16"/>
  <c r="S691" i="16" s="1"/>
  <c r="H691" i="16" s="1"/>
  <c r="C692" i="16"/>
  <c r="C693" i="16"/>
  <c r="C694" i="16"/>
  <c r="C695" i="16"/>
  <c r="C696" i="16"/>
  <c r="C697" i="16"/>
  <c r="C698" i="16"/>
  <c r="S698" i="16" s="1"/>
  <c r="C699" i="16"/>
  <c r="C700" i="16"/>
  <c r="S700" i="16" s="1"/>
  <c r="C701" i="16"/>
  <c r="S701" i="16" s="1"/>
  <c r="C702" i="16"/>
  <c r="C703" i="16"/>
  <c r="C704" i="16"/>
  <c r="C705" i="16"/>
  <c r="C706" i="16"/>
  <c r="C707" i="16"/>
  <c r="C708" i="16"/>
  <c r="S708" i="16" s="1"/>
  <c r="C709" i="16"/>
  <c r="S709" i="16" s="1"/>
  <c r="C710" i="16"/>
  <c r="C711" i="16"/>
  <c r="C712" i="16"/>
  <c r="C713" i="16"/>
  <c r="S713" i="16" s="1"/>
  <c r="C714" i="16"/>
  <c r="S714" i="16" s="1"/>
  <c r="H714" i="16" s="1"/>
  <c r="C715" i="16"/>
  <c r="C716" i="16"/>
  <c r="S716" i="16" s="1"/>
  <c r="J716" i="16" s="1"/>
  <c r="C717" i="16"/>
  <c r="C718" i="16"/>
  <c r="C719" i="16"/>
  <c r="S719" i="16" s="1"/>
  <c r="C720" i="16"/>
  <c r="S720" i="16" s="1"/>
  <c r="I720" i="16" s="1"/>
  <c r="C721" i="16"/>
  <c r="S721" i="16" s="1"/>
  <c r="C722" i="16"/>
  <c r="S722" i="16" s="1"/>
  <c r="C723" i="16"/>
  <c r="S723" i="16" s="1"/>
  <c r="C724" i="16"/>
  <c r="S724" i="16" s="1"/>
  <c r="E724" i="16" s="1"/>
  <c r="C725" i="16"/>
  <c r="S725" i="16" s="1"/>
  <c r="I725" i="16" s="1"/>
  <c r="C726" i="16"/>
  <c r="C727" i="16"/>
  <c r="C728" i="16"/>
  <c r="C729" i="16"/>
  <c r="C730" i="16"/>
  <c r="C731" i="16"/>
  <c r="C732" i="16"/>
  <c r="S732" i="16" s="1"/>
  <c r="C733" i="16"/>
  <c r="S733" i="16" s="1"/>
  <c r="H733" i="16" s="1"/>
  <c r="C734" i="16"/>
  <c r="C735" i="16"/>
  <c r="S735" i="16" s="1"/>
  <c r="C736" i="16"/>
  <c r="S736" i="16" s="1"/>
  <c r="C737" i="16"/>
  <c r="C738" i="16"/>
  <c r="S738" i="16" s="1"/>
  <c r="G738" i="16" s="1"/>
  <c r="C739" i="16"/>
  <c r="C740" i="16"/>
  <c r="C741" i="16"/>
  <c r="C742" i="16"/>
  <c r="C743" i="16"/>
  <c r="C744" i="16"/>
  <c r="S744" i="16" s="1"/>
  <c r="J744" i="16" s="1"/>
  <c r="C745" i="16"/>
  <c r="C746" i="16"/>
  <c r="C747" i="16"/>
  <c r="S747" i="16" s="1"/>
  <c r="C748" i="16"/>
  <c r="C749" i="16"/>
  <c r="C750" i="16"/>
  <c r="C751" i="16"/>
  <c r="C752" i="16"/>
  <c r="C753" i="16"/>
  <c r="C754" i="16"/>
  <c r="C755" i="16"/>
  <c r="S755" i="16" s="1"/>
  <c r="G755" i="16" s="1"/>
  <c r="C756" i="16"/>
  <c r="S756" i="16" s="1"/>
  <c r="C757" i="16"/>
  <c r="C758" i="16"/>
  <c r="C759" i="16"/>
  <c r="C760" i="16"/>
  <c r="S760" i="16" s="1"/>
  <c r="D760" i="16" s="1"/>
  <c r="C761" i="16"/>
  <c r="S761" i="16" s="1"/>
  <c r="C762" i="16"/>
  <c r="C763" i="16"/>
  <c r="C764" i="16"/>
  <c r="S764" i="16" s="1"/>
  <c r="J764" i="16" s="1"/>
  <c r="C765" i="16"/>
  <c r="S765" i="16" s="1"/>
  <c r="C766" i="16"/>
  <c r="C767" i="16"/>
  <c r="C768" i="16"/>
  <c r="C769" i="16"/>
  <c r="C770" i="16"/>
  <c r="C771" i="16"/>
  <c r="C772" i="16"/>
  <c r="S772" i="16" s="1"/>
  <c r="C773" i="16"/>
  <c r="C774" i="16"/>
  <c r="S774" i="16" s="1"/>
  <c r="C775" i="16"/>
  <c r="C776" i="16"/>
  <c r="C777" i="16"/>
  <c r="S777" i="16" s="1"/>
  <c r="C778" i="16"/>
  <c r="C779" i="16"/>
  <c r="C780" i="16"/>
  <c r="C781" i="16"/>
  <c r="S781" i="16" s="1"/>
  <c r="H781" i="16" s="1"/>
  <c r="C782" i="16"/>
  <c r="C783" i="16"/>
  <c r="C784" i="16"/>
  <c r="C785" i="16"/>
  <c r="C786" i="16"/>
  <c r="C787" i="16"/>
  <c r="C788" i="16"/>
  <c r="C789" i="16"/>
  <c r="S789" i="16" s="1"/>
  <c r="C790" i="16"/>
  <c r="C791" i="16"/>
  <c r="C792" i="16"/>
  <c r="C793" i="16"/>
  <c r="C794" i="16"/>
  <c r="S794" i="16" s="1"/>
  <c r="C795" i="16"/>
  <c r="S795" i="16" s="1"/>
  <c r="C796" i="16"/>
  <c r="S796" i="16" s="1"/>
  <c r="C797" i="16"/>
  <c r="S797" i="16" s="1"/>
  <c r="C798" i="16"/>
  <c r="C799" i="16"/>
  <c r="C800" i="16"/>
  <c r="C801" i="16"/>
  <c r="C802" i="16"/>
  <c r="C803" i="16"/>
  <c r="C804" i="16"/>
  <c r="C805" i="16"/>
  <c r="C806" i="16"/>
  <c r="C807" i="16"/>
  <c r="C808" i="16"/>
  <c r="C809" i="16"/>
  <c r="S809" i="16" s="1"/>
  <c r="C810" i="16"/>
  <c r="C811" i="16"/>
  <c r="S811" i="16" s="1"/>
  <c r="C812" i="16"/>
  <c r="S812" i="16" s="1"/>
  <c r="H812" i="16" s="1"/>
  <c r="C813" i="16"/>
  <c r="C814" i="16"/>
  <c r="S814" i="16" s="1"/>
  <c r="C815" i="16"/>
  <c r="C816" i="16"/>
  <c r="S816" i="16" s="1"/>
  <c r="C817" i="16"/>
  <c r="S817" i="16" s="1"/>
  <c r="E817" i="16" s="1"/>
  <c r="C818" i="16"/>
  <c r="C819" i="16"/>
  <c r="C820" i="16"/>
  <c r="S820" i="16" s="1"/>
  <c r="C821" i="16"/>
  <c r="C822" i="16"/>
  <c r="C823" i="16"/>
  <c r="C824" i="16"/>
  <c r="C825" i="16"/>
  <c r="C826" i="16"/>
  <c r="C827" i="16"/>
  <c r="C828" i="16"/>
  <c r="S828" i="16" s="1"/>
  <c r="C829" i="16"/>
  <c r="S829" i="16" s="1"/>
  <c r="C830" i="16"/>
  <c r="C831" i="16"/>
  <c r="C832" i="16"/>
  <c r="C833" i="16"/>
  <c r="S833" i="16" s="1"/>
  <c r="F833" i="16" s="1"/>
  <c r="C834" i="16"/>
  <c r="C835" i="16"/>
  <c r="C836" i="16"/>
  <c r="C837" i="16"/>
  <c r="C838" i="16"/>
  <c r="C839" i="16"/>
  <c r="C840" i="16"/>
  <c r="C841" i="16"/>
  <c r="S841" i="16" s="1"/>
  <c r="C842" i="16"/>
  <c r="S842" i="16" s="1"/>
  <c r="C843" i="16"/>
  <c r="S843" i="16" s="1"/>
  <c r="C844" i="16"/>
  <c r="S844" i="16" s="1"/>
  <c r="E844" i="16" s="1"/>
  <c r="C845" i="16"/>
  <c r="C846" i="16"/>
  <c r="C847" i="16"/>
  <c r="C848" i="16"/>
  <c r="C849" i="16"/>
  <c r="C850" i="16"/>
  <c r="C851" i="16"/>
  <c r="S851" i="16" s="1"/>
  <c r="C852" i="16"/>
  <c r="C853" i="16"/>
  <c r="C854" i="16"/>
  <c r="C855" i="16"/>
  <c r="S855" i="16" s="1"/>
  <c r="C856" i="16"/>
  <c r="S856" i="16" s="1"/>
  <c r="C857" i="16"/>
  <c r="C858" i="16"/>
  <c r="C859" i="16"/>
  <c r="S859" i="16" s="1"/>
  <c r="C860" i="16"/>
  <c r="S860" i="16" s="1"/>
  <c r="G860" i="16" s="1"/>
  <c r="C861" i="16"/>
  <c r="C862" i="16"/>
  <c r="C863" i="16"/>
  <c r="S863" i="16" s="1"/>
  <c r="J863" i="16" s="1"/>
  <c r="C864" i="16"/>
  <c r="S864" i="16" s="1"/>
  <c r="H864" i="16" s="1"/>
  <c r="C865" i="16"/>
  <c r="C866" i="16"/>
  <c r="S866" i="16" s="1"/>
  <c r="C867" i="16"/>
  <c r="S867" i="16" s="1"/>
  <c r="C868" i="16"/>
  <c r="S868" i="16" s="1"/>
  <c r="D868" i="16" s="1"/>
  <c r="C869" i="16"/>
  <c r="S869" i="16" s="1"/>
  <c r="C870" i="16"/>
  <c r="C871" i="16"/>
  <c r="S871" i="16" s="1"/>
  <c r="C872" i="16"/>
  <c r="S872" i="16" s="1"/>
  <c r="C873" i="16"/>
  <c r="C874" i="16"/>
  <c r="S874" i="16" s="1"/>
  <c r="C875" i="16"/>
  <c r="C876" i="16"/>
  <c r="C877" i="16"/>
  <c r="S877" i="16" s="1"/>
  <c r="C878" i="16"/>
  <c r="C879" i="16"/>
  <c r="C880" i="16"/>
  <c r="S880" i="16" s="1"/>
  <c r="C881" i="16"/>
  <c r="S881" i="16" s="1"/>
  <c r="D881" i="16" s="1"/>
  <c r="C882" i="16"/>
  <c r="S882" i="16" s="1"/>
  <c r="C883" i="16"/>
  <c r="S883" i="16" s="1"/>
  <c r="E883" i="16" s="1"/>
  <c r="C884" i="16"/>
  <c r="C885" i="16"/>
  <c r="S885" i="16" s="1"/>
  <c r="C886" i="16"/>
  <c r="C887" i="16"/>
  <c r="S887" i="16" s="1"/>
  <c r="C888" i="16"/>
  <c r="S888" i="16" s="1"/>
  <c r="E888" i="16" s="1"/>
  <c r="C889" i="16"/>
  <c r="C890" i="16"/>
  <c r="C891" i="16"/>
  <c r="S891" i="16" s="1"/>
  <c r="C892" i="16"/>
  <c r="C893" i="16"/>
  <c r="C894" i="16"/>
  <c r="C895" i="16"/>
  <c r="C896" i="16"/>
  <c r="S896" i="16" s="1"/>
  <c r="H896" i="16" s="1"/>
  <c r="C897" i="16"/>
  <c r="C898" i="16"/>
  <c r="S898" i="16" s="1"/>
  <c r="C899" i="16"/>
  <c r="C900" i="16"/>
  <c r="C901" i="16"/>
  <c r="C902" i="16"/>
  <c r="C903" i="16"/>
  <c r="C904" i="16"/>
  <c r="C905" i="16"/>
  <c r="S905" i="16" s="1"/>
  <c r="C906" i="16"/>
  <c r="C907" i="16"/>
  <c r="S907" i="16" s="1"/>
  <c r="C908" i="16"/>
  <c r="S908" i="16" s="1"/>
  <c r="E908" i="16" s="1"/>
  <c r="C909" i="16"/>
  <c r="S909" i="16" s="1"/>
  <c r="C910" i="16"/>
  <c r="C911" i="16"/>
  <c r="C912" i="16"/>
  <c r="C913" i="16"/>
  <c r="S913" i="16" s="1"/>
  <c r="C914" i="16"/>
  <c r="C915" i="16"/>
  <c r="S915" i="16" s="1"/>
  <c r="E915" i="16" s="1"/>
  <c r="C916" i="16"/>
  <c r="C917" i="16"/>
  <c r="S917" i="16" s="1"/>
  <c r="C918" i="16"/>
  <c r="C919" i="16"/>
  <c r="C920" i="16"/>
  <c r="S920" i="16" s="1"/>
  <c r="C921" i="16"/>
  <c r="C922" i="16"/>
  <c r="C923" i="16"/>
  <c r="C924" i="16"/>
  <c r="C925" i="16"/>
  <c r="C926" i="16"/>
  <c r="C927" i="16"/>
  <c r="S927" i="16" s="1"/>
  <c r="C928" i="16"/>
  <c r="C929" i="16"/>
  <c r="S929" i="16" s="1"/>
  <c r="C930" i="16"/>
  <c r="C931" i="16"/>
  <c r="S931" i="16" s="1"/>
  <c r="C932" i="16"/>
  <c r="S932" i="16" s="1"/>
  <c r="I932" i="16" s="1"/>
  <c r="C933" i="16"/>
  <c r="S933" i="16" s="1"/>
  <c r="C934" i="16"/>
  <c r="C935" i="16"/>
  <c r="S935" i="16" s="1"/>
  <c r="C936" i="16"/>
  <c r="C937" i="16"/>
  <c r="C938" i="16"/>
  <c r="S938" i="16" s="1"/>
  <c r="C939" i="16"/>
  <c r="S939" i="16" s="1"/>
  <c r="C940" i="16"/>
  <c r="S940" i="16" s="1"/>
  <c r="C941" i="16"/>
  <c r="C942" i="16"/>
  <c r="C943" i="16"/>
  <c r="C944" i="16"/>
  <c r="C945" i="16"/>
  <c r="C946" i="16"/>
  <c r="C947" i="16"/>
  <c r="C948" i="16"/>
  <c r="S948" i="16" s="1"/>
  <c r="C949" i="16"/>
  <c r="C950" i="16"/>
  <c r="C951" i="16"/>
  <c r="C952" i="16"/>
  <c r="S952" i="16" s="1"/>
  <c r="I952" i="16" s="1"/>
  <c r="C953" i="16"/>
  <c r="S953" i="16" s="1"/>
  <c r="C954" i="16"/>
  <c r="C955" i="16"/>
  <c r="S955" i="16" s="1"/>
  <c r="H955" i="16" s="1"/>
  <c r="C956" i="16"/>
  <c r="S956" i="16" s="1"/>
  <c r="C957" i="16"/>
  <c r="S957" i="16" s="1"/>
  <c r="D957" i="16" s="1"/>
  <c r="C958" i="16"/>
  <c r="C959" i="16"/>
  <c r="C960" i="16"/>
  <c r="C961" i="16"/>
  <c r="S961" i="16" s="1"/>
  <c r="J961" i="16" s="1"/>
  <c r="C962" i="16"/>
  <c r="S962" i="16" s="1"/>
  <c r="C963" i="16"/>
  <c r="S963" i="16" s="1"/>
  <c r="C964" i="16"/>
  <c r="S964" i="16" s="1"/>
  <c r="C965" i="16"/>
  <c r="C967" i="16"/>
  <c r="C968" i="16"/>
  <c r="C969" i="16"/>
  <c r="C970" i="16"/>
  <c r="C971" i="16"/>
  <c r="S971" i="16" s="1"/>
  <c r="C972" i="16"/>
  <c r="C973" i="16"/>
  <c r="S973" i="16" s="1"/>
  <c r="C974" i="16"/>
  <c r="C975" i="16"/>
  <c r="C976" i="16"/>
  <c r="C977" i="16"/>
  <c r="C978" i="16"/>
  <c r="C979" i="16"/>
  <c r="S979" i="16" s="1"/>
  <c r="C980" i="16"/>
  <c r="C981" i="16"/>
  <c r="S981" i="16" s="1"/>
  <c r="D981" i="16" s="1"/>
  <c r="C982" i="16"/>
  <c r="S982" i="16" s="1"/>
  <c r="C983" i="16"/>
  <c r="C984" i="16"/>
  <c r="C985" i="16"/>
  <c r="S985" i="16" s="1"/>
  <c r="C986" i="16"/>
  <c r="C987" i="16"/>
  <c r="S987" i="16" s="1"/>
  <c r="C988" i="16"/>
  <c r="C989" i="16"/>
  <c r="S989" i="16" s="1"/>
  <c r="I989" i="16" s="1"/>
  <c r="C990" i="16"/>
  <c r="C991" i="16"/>
  <c r="C992" i="16"/>
  <c r="C993" i="16"/>
  <c r="C994" i="16"/>
  <c r="C995" i="16"/>
  <c r="S995" i="16" s="1"/>
  <c r="C996" i="16"/>
  <c r="C997" i="16"/>
  <c r="S997" i="16" s="1"/>
  <c r="C998" i="16"/>
  <c r="C999" i="16"/>
  <c r="C1000" i="16"/>
  <c r="C1001" i="16"/>
  <c r="C1002" i="16"/>
  <c r="S1002" i="16" s="1"/>
  <c r="C1003" i="16"/>
  <c r="C1004" i="16"/>
  <c r="C1005" i="16"/>
  <c r="S1005" i="16" s="1"/>
  <c r="C1006" i="16"/>
  <c r="S1006" i="16" s="1"/>
  <c r="C1007" i="16"/>
  <c r="C1008" i="16"/>
  <c r="C1009" i="16"/>
  <c r="S1009" i="16" s="1"/>
  <c r="C1010" i="16"/>
  <c r="C1011" i="16"/>
  <c r="S1011" i="16" s="1"/>
  <c r="C1012" i="16"/>
  <c r="C1013" i="16"/>
  <c r="S1013" i="16" s="1"/>
  <c r="H1013" i="16" s="1"/>
  <c r="C1014" i="16"/>
  <c r="C1015" i="16"/>
  <c r="C1016" i="16"/>
  <c r="C1017" i="16"/>
  <c r="S1017" i="16" s="1"/>
  <c r="C1018" i="16"/>
  <c r="S1018" i="16" s="1"/>
  <c r="J1018" i="16" s="1"/>
  <c r="C1019" i="16"/>
  <c r="S1019" i="16" s="1"/>
  <c r="J1019" i="16" s="1"/>
  <c r="C1020" i="16"/>
  <c r="S1020" i="16" s="1"/>
  <c r="E1020" i="16" s="1"/>
  <c r="C1021" i="16"/>
  <c r="S1021" i="16" s="1"/>
  <c r="J1021" i="16" s="1"/>
  <c r="C1022" i="16"/>
  <c r="S1022" i="16" s="1"/>
  <c r="C1023" i="16"/>
  <c r="C1024" i="16"/>
  <c r="S1024" i="16" s="1"/>
  <c r="E1024" i="16" s="1"/>
  <c r="C1025" i="16"/>
  <c r="C1026" i="16"/>
  <c r="S1026" i="16" s="1"/>
  <c r="C1027" i="16"/>
  <c r="S1027" i="16" s="1"/>
  <c r="E1027" i="16" s="1"/>
  <c r="C1028" i="16"/>
  <c r="S1028" i="16" s="1"/>
  <c r="I1028" i="16" s="1"/>
  <c r="C1029" i="16"/>
  <c r="S1029" i="16" s="1"/>
  <c r="C1030" i="16"/>
  <c r="C1031" i="16"/>
  <c r="C1032" i="16"/>
  <c r="C1033" i="16"/>
  <c r="S1033" i="16" s="1"/>
  <c r="H1033" i="16" s="1"/>
  <c r="C1034" i="16"/>
  <c r="C1035" i="16"/>
  <c r="C1036" i="16"/>
  <c r="C1037" i="16"/>
  <c r="C1038" i="16"/>
  <c r="C1039" i="16"/>
  <c r="C1040" i="16"/>
  <c r="C1041" i="16"/>
  <c r="S1041" i="16" s="1"/>
  <c r="E1041" i="16" s="1"/>
  <c r="C1042" i="16"/>
  <c r="S1042" i="16" s="1"/>
  <c r="D1042" i="16" s="1"/>
  <c r="C1043" i="16"/>
  <c r="S1043" i="16" s="1"/>
  <c r="D1043" i="16" s="1"/>
  <c r="C1044" i="16"/>
  <c r="S1044" i="16" s="1"/>
  <c r="C1045" i="16"/>
  <c r="S1045" i="16" s="1"/>
  <c r="C1046" i="16"/>
  <c r="C1047" i="16"/>
  <c r="C1048" i="16"/>
  <c r="C1049" i="16"/>
  <c r="S1049" i="16" s="1"/>
  <c r="C1050" i="16"/>
  <c r="S1050" i="16" s="1"/>
  <c r="C1051" i="16"/>
  <c r="C1052" i="16"/>
  <c r="C1053" i="16"/>
  <c r="S1053" i="16" s="1"/>
  <c r="D1053" i="16" s="1"/>
  <c r="C1054" i="16"/>
  <c r="C1055" i="16"/>
  <c r="C1056" i="16"/>
  <c r="S1056" i="16" s="1"/>
  <c r="C1057" i="16"/>
  <c r="S1057" i="16" s="1"/>
  <c r="C1058" i="16"/>
  <c r="S1058" i="16" s="1"/>
  <c r="C1059" i="16"/>
  <c r="S1059" i="16" s="1"/>
  <c r="G1059" i="16" s="1"/>
  <c r="C1060" i="16"/>
  <c r="C1061" i="16"/>
  <c r="S1061" i="16" s="1"/>
  <c r="F1061" i="16" s="1"/>
  <c r="C1062" i="16"/>
  <c r="C1063" i="16"/>
  <c r="C1064" i="16"/>
  <c r="C1065" i="16"/>
  <c r="C1066" i="16"/>
  <c r="S1066" i="16" s="1"/>
  <c r="G1066" i="16" s="1"/>
  <c r="C1067" i="16"/>
  <c r="S1067" i="16" s="1"/>
  <c r="C1068" i="16"/>
  <c r="S1068" i="16" s="1"/>
  <c r="E1068" i="16" s="1"/>
  <c r="C1069" i="16"/>
  <c r="C1070" i="16"/>
  <c r="C1071" i="16"/>
  <c r="C1072" i="16"/>
  <c r="C1073" i="16"/>
  <c r="C1074" i="16"/>
  <c r="C1075" i="16"/>
  <c r="C1076" i="16"/>
  <c r="C1077" i="16"/>
  <c r="C1078" i="16"/>
  <c r="C1079" i="16"/>
  <c r="C1080" i="16"/>
  <c r="C1081" i="16"/>
  <c r="C1082" i="16"/>
  <c r="S1082" i="16" s="1"/>
  <c r="C1083" i="16"/>
  <c r="S1083" i="16" s="1"/>
  <c r="D1083" i="16" s="1"/>
  <c r="C1084" i="16"/>
  <c r="S1084" i="16" s="1"/>
  <c r="C1085" i="16"/>
  <c r="S1085" i="16" s="1"/>
  <c r="C1086" i="16"/>
  <c r="C1087" i="16"/>
  <c r="S1087" i="16" s="1"/>
  <c r="C1088" i="16"/>
  <c r="C1089" i="16"/>
  <c r="C1090" i="16"/>
  <c r="S1090" i="16" s="1"/>
  <c r="C1091" i="16"/>
  <c r="C1092" i="16"/>
  <c r="C1093" i="16"/>
  <c r="S1093" i="16" s="1"/>
  <c r="E1093" i="16" s="1"/>
  <c r="C1094" i="16"/>
  <c r="C1095" i="16"/>
  <c r="S1095" i="16" s="1"/>
  <c r="C1096" i="16"/>
  <c r="C1097" i="16"/>
  <c r="S1097" i="16" s="1"/>
  <c r="J1097" i="16" s="1"/>
  <c r="C1098" i="16"/>
  <c r="S1098" i="16" s="1"/>
  <c r="H1098" i="16" s="1"/>
  <c r="C1099" i="16"/>
  <c r="S1099" i="16" s="1"/>
  <c r="I1099" i="16" s="1"/>
  <c r="C1100" i="16"/>
  <c r="S1100" i="16" s="1"/>
  <c r="C1101" i="16"/>
  <c r="C1102" i="16"/>
  <c r="C1103" i="16"/>
  <c r="C1104" i="16"/>
  <c r="C1105" i="16"/>
  <c r="C1106" i="16"/>
  <c r="S1106" i="16" s="1"/>
  <c r="D1106" i="16" s="1"/>
  <c r="C1107" i="16"/>
  <c r="C1108" i="16"/>
  <c r="C1109" i="16"/>
  <c r="C1110" i="16"/>
  <c r="C1111" i="16"/>
  <c r="C1112" i="16"/>
  <c r="C1113" i="16"/>
  <c r="C1114" i="16"/>
  <c r="S1114" i="16" s="1"/>
  <c r="D1114" i="16" s="1"/>
  <c r="C1115" i="16"/>
  <c r="C1116" i="16"/>
  <c r="S1116" i="16" s="1"/>
  <c r="C1117" i="16"/>
  <c r="S1117" i="16" s="1"/>
  <c r="C1118" i="16"/>
  <c r="C1119" i="16"/>
  <c r="C1120" i="16"/>
  <c r="C1121" i="16"/>
  <c r="C1122" i="16"/>
  <c r="S1122" i="16" s="1"/>
  <c r="E1122" i="16" s="1"/>
  <c r="C1123" i="16"/>
  <c r="C1124" i="16"/>
  <c r="C1125" i="16"/>
  <c r="S1125" i="16" s="1"/>
  <c r="C1126" i="16"/>
  <c r="C1127" i="16"/>
  <c r="C1128" i="16"/>
  <c r="C1129" i="16"/>
  <c r="S1129" i="16" s="1"/>
  <c r="C1130" i="16"/>
  <c r="S1130" i="16" s="1"/>
  <c r="C1131" i="16"/>
  <c r="S1131" i="16" s="1"/>
  <c r="C1132" i="16"/>
  <c r="C1133" i="16"/>
  <c r="S1133" i="16" s="1"/>
  <c r="C1134" i="16"/>
  <c r="C1135" i="16"/>
  <c r="C1136" i="16"/>
  <c r="S1136" i="16" s="1"/>
  <c r="H1136" i="16" s="1"/>
  <c r="C1137" i="16"/>
  <c r="S1137" i="16" s="1"/>
  <c r="H1137" i="16" s="1"/>
  <c r="C1138" i="16"/>
  <c r="S1138" i="16" s="1"/>
  <c r="C1139" i="16"/>
  <c r="C1140" i="16"/>
  <c r="C1141" i="16"/>
  <c r="S1141" i="16" s="1"/>
  <c r="G1141" i="16" s="1"/>
  <c r="C1142" i="16"/>
  <c r="C1143" i="16"/>
  <c r="C1144" i="16"/>
  <c r="C1145" i="16"/>
  <c r="S1145" i="16" s="1"/>
  <c r="C1146" i="16"/>
  <c r="S1146" i="16" s="1"/>
  <c r="J1146" i="16" s="1"/>
  <c r="C1147" i="16"/>
  <c r="S1147" i="16" s="1"/>
  <c r="I1147" i="16" s="1"/>
  <c r="C1148" i="16"/>
  <c r="C1149" i="16"/>
  <c r="S1149" i="16" s="1"/>
  <c r="C1150" i="16"/>
  <c r="C1151" i="16"/>
  <c r="C1152" i="16"/>
  <c r="C1153" i="16"/>
  <c r="S1153" i="16" s="1"/>
  <c r="I1153" i="16" s="1"/>
  <c r="C1154" i="16"/>
  <c r="C1155" i="16"/>
  <c r="C1156" i="16"/>
  <c r="S1156" i="16" s="1"/>
  <c r="F1156" i="16" s="1"/>
  <c r="C1157" i="16"/>
  <c r="C1158" i="16"/>
  <c r="C1159" i="16"/>
  <c r="C1160" i="16"/>
  <c r="C1161" i="16"/>
  <c r="S1161" i="16" s="1"/>
  <c r="C1162" i="16"/>
  <c r="C1163" i="16"/>
  <c r="C1164" i="16"/>
  <c r="C1165" i="16"/>
  <c r="C1166" i="16"/>
  <c r="S1166" i="16" s="1"/>
  <c r="C1167" i="16"/>
  <c r="C1168" i="16"/>
  <c r="C1169" i="16"/>
  <c r="S1169" i="16" s="1"/>
  <c r="C1170" i="16"/>
  <c r="C1171" i="16"/>
  <c r="C1172" i="16"/>
  <c r="C1173" i="16"/>
  <c r="S1173" i="16" s="1"/>
  <c r="C1174" i="16"/>
  <c r="C1175" i="16"/>
  <c r="C1176" i="16"/>
  <c r="C1177" i="16"/>
  <c r="C1178" i="16"/>
  <c r="C1179" i="16"/>
  <c r="C1180" i="16"/>
  <c r="S1180" i="16" s="1"/>
  <c r="C1181" i="16"/>
  <c r="C1182" i="16"/>
  <c r="S1182" i="16" s="1"/>
  <c r="C1183" i="16"/>
  <c r="C1184" i="16"/>
  <c r="C1185" i="16"/>
  <c r="C1186" i="16"/>
  <c r="C1187" i="16"/>
  <c r="C1188" i="16"/>
  <c r="S1188" i="16" s="1"/>
  <c r="C1189" i="16"/>
  <c r="C1190" i="16"/>
  <c r="S1190" i="16" s="1"/>
  <c r="E1190" i="16" s="1"/>
  <c r="C1191" i="16"/>
  <c r="C1192" i="16"/>
  <c r="C1193" i="16"/>
  <c r="C1194" i="16"/>
  <c r="C1195" i="16"/>
  <c r="C1196" i="16"/>
  <c r="S1196" i="16" s="1"/>
  <c r="F1196" i="16" s="1"/>
  <c r="C1197" i="16"/>
  <c r="C1198" i="16"/>
  <c r="S1198" i="16" s="1"/>
  <c r="C1199" i="16"/>
  <c r="C1200" i="16"/>
  <c r="C1201" i="16"/>
  <c r="C1202" i="16"/>
  <c r="C1203" i="16"/>
  <c r="S1203" i="16" s="1"/>
  <c r="I1203" i="16" s="1"/>
  <c r="C1204" i="16"/>
  <c r="C1205" i="16"/>
  <c r="C1206" i="16"/>
  <c r="C1207" i="16"/>
  <c r="S1207" i="16" s="1"/>
  <c r="C1208" i="16"/>
  <c r="C1209" i="16"/>
  <c r="S1209" i="16" s="1"/>
  <c r="F1209" i="16" s="1"/>
  <c r="C1210" i="16"/>
  <c r="S1210" i="16" s="1"/>
  <c r="C1211" i="16"/>
  <c r="S1211" i="16" s="1"/>
  <c r="C1212" i="16"/>
  <c r="S1212" i="16" s="1"/>
  <c r="C1213" i="16"/>
  <c r="S1213" i="16" s="1"/>
  <c r="C1214" i="16"/>
  <c r="S1214" i="16" s="1"/>
  <c r="G1214" i="16" s="1"/>
  <c r="C1215" i="16"/>
  <c r="C1216" i="16"/>
  <c r="C1217" i="16"/>
  <c r="C1218" i="16"/>
  <c r="C1219" i="16"/>
  <c r="C1220" i="16"/>
  <c r="C1221" i="16"/>
  <c r="C1222" i="16"/>
  <c r="S1222" i="16" s="1"/>
  <c r="C1223" i="16"/>
  <c r="C1224" i="16"/>
  <c r="C1225" i="16"/>
  <c r="C1226" i="16"/>
  <c r="C1227" i="16"/>
  <c r="C1228" i="16"/>
  <c r="C1229" i="16"/>
  <c r="S1229" i="16" s="1"/>
  <c r="C1230" i="16"/>
  <c r="C1231" i="16"/>
  <c r="S1231" i="16" s="1"/>
  <c r="C1232" i="16"/>
  <c r="C1233" i="16"/>
  <c r="S1233" i="16" s="1"/>
  <c r="C1234" i="16"/>
  <c r="C1235" i="16"/>
  <c r="S1235" i="16" s="1"/>
  <c r="C1236" i="16"/>
  <c r="C1237" i="16"/>
  <c r="S1237" i="16" s="1"/>
  <c r="C1238" i="16"/>
  <c r="C1239" i="16"/>
  <c r="C1240" i="16"/>
  <c r="C1241" i="16"/>
  <c r="C1242" i="16"/>
  <c r="S1242" i="16" s="1"/>
  <c r="C1243" i="16"/>
  <c r="C1244" i="16"/>
  <c r="C1245" i="16"/>
  <c r="S1245" i="16" s="1"/>
  <c r="C1246" i="16"/>
  <c r="C1247" i="16"/>
  <c r="C1248" i="16"/>
  <c r="S1248" i="16" s="1"/>
  <c r="D1248" i="16" s="1"/>
  <c r="C1249" i="16"/>
  <c r="C1250" i="16"/>
  <c r="S1250" i="16" s="1"/>
  <c r="C1251" i="16"/>
  <c r="S1251" i="16" s="1"/>
  <c r="C1252" i="16"/>
  <c r="C1253" i="16"/>
  <c r="S1253" i="16" s="1"/>
  <c r="C1254" i="16"/>
  <c r="C1255" i="16"/>
  <c r="C1256" i="16"/>
  <c r="C1257" i="16"/>
  <c r="C1258" i="16"/>
  <c r="C1259" i="16"/>
  <c r="C1260" i="16"/>
  <c r="C1261" i="16"/>
  <c r="C1262" i="16"/>
  <c r="C1263" i="16"/>
  <c r="C1264" i="16"/>
  <c r="S1264" i="16" s="1"/>
  <c r="C1265" i="16"/>
  <c r="S1265" i="16" s="1"/>
  <c r="C1266" i="16"/>
  <c r="S1266" i="16" s="1"/>
  <c r="C1267" i="16"/>
  <c r="S1267" i="16" s="1"/>
  <c r="I1267" i="16" s="1"/>
  <c r="C1268" i="16"/>
  <c r="C1269" i="16"/>
  <c r="S1269" i="16" s="1"/>
  <c r="C1270" i="16"/>
  <c r="S1270" i="16" s="1"/>
  <c r="C1271" i="16"/>
  <c r="C1272" i="16"/>
  <c r="C1273" i="16"/>
  <c r="S1273" i="16" s="1"/>
  <c r="D1273" i="16" s="1"/>
  <c r="C1274" i="16"/>
  <c r="C1275" i="16"/>
  <c r="C1276" i="16"/>
  <c r="C1277" i="16"/>
  <c r="S1277" i="16" s="1"/>
  <c r="F1277" i="16" s="1"/>
  <c r="C1278" i="16"/>
  <c r="C1280" i="16"/>
  <c r="C1281" i="16"/>
  <c r="S1281" i="16" s="1"/>
  <c r="C1283" i="16"/>
  <c r="S1283" i="16" s="1"/>
  <c r="C1284" i="16"/>
  <c r="C1285" i="16"/>
  <c r="S1285" i="16" s="1"/>
  <c r="E1285" i="16" s="1"/>
  <c r="C1286" i="16"/>
  <c r="C1287" i="16"/>
  <c r="S1287" i="16" s="1"/>
  <c r="A227" i="13"/>
  <c r="A65" i="13"/>
  <c r="A50" i="13"/>
  <c r="B1283" i="16"/>
  <c r="Y1283" i="16" s="1"/>
  <c r="A304" i="13"/>
  <c r="A303" i="13"/>
  <c r="A302" i="13"/>
  <c r="A301" i="13"/>
  <c r="A300" i="13"/>
  <c r="A299" i="13"/>
  <c r="A298" i="13"/>
  <c r="A297" i="13"/>
  <c r="A296" i="13"/>
  <c r="A239" i="13"/>
  <c r="A238" i="13"/>
  <c r="A237" i="13"/>
  <c r="A235" i="13"/>
  <c r="A234" i="13"/>
  <c r="A233" i="13"/>
  <c r="A232" i="13"/>
  <c r="A231" i="13"/>
  <c r="A230" i="13"/>
  <c r="A229" i="13"/>
  <c r="A228" i="13"/>
  <c r="A226" i="13"/>
  <c r="A225" i="13"/>
  <c r="A224" i="13"/>
  <c r="A223" i="13"/>
  <c r="A222" i="13"/>
  <c r="A221" i="13"/>
  <c r="A220" i="13"/>
  <c r="A219" i="13"/>
  <c r="A218" i="13"/>
  <c r="A217" i="13"/>
  <c r="A216" i="13"/>
  <c r="A215" i="13"/>
  <c r="A214" i="13"/>
  <c r="A213" i="13"/>
  <c r="A212" i="13"/>
  <c r="A211" i="13"/>
  <c r="A209" i="13"/>
  <c r="A208" i="13"/>
  <c r="A207" i="13"/>
  <c r="A206" i="13"/>
  <c r="A205" i="13"/>
  <c r="A204" i="13"/>
  <c r="A203" i="13"/>
  <c r="A202" i="13"/>
  <c r="A201" i="13"/>
  <c r="A200" i="13"/>
  <c r="A199" i="13"/>
  <c r="A198"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4" i="13"/>
  <c r="A63" i="13"/>
  <c r="A62" i="13"/>
  <c r="A61" i="13"/>
  <c r="A60" i="13"/>
  <c r="A59" i="13"/>
  <c r="A58" i="13"/>
  <c r="A57" i="13"/>
  <c r="A56" i="13"/>
  <c r="A55" i="13"/>
  <c r="A54" i="13"/>
  <c r="A53" i="13"/>
  <c r="A52" i="13"/>
  <c r="A51"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B1287" i="16"/>
  <c r="B1280" i="16"/>
  <c r="K535" i="14"/>
  <c r="K536" i="14"/>
  <c r="K537" i="14"/>
  <c r="K538" i="14"/>
  <c r="K539" i="14"/>
  <c r="K540" i="14"/>
  <c r="K529" i="14"/>
  <c r="K541" i="14"/>
  <c r="J535" i="14"/>
  <c r="J536" i="14"/>
  <c r="J537" i="14"/>
  <c r="J538" i="14"/>
  <c r="J539" i="14"/>
  <c r="J540" i="14"/>
  <c r="J529" i="14"/>
  <c r="J541" i="14"/>
  <c r="B260" i="16"/>
  <c r="B261" i="16"/>
  <c r="B262" i="16"/>
  <c r="B263" i="16"/>
  <c r="Y263" i="16" s="1"/>
  <c r="B264" i="16"/>
  <c r="B265" i="16"/>
  <c r="B266" i="16"/>
  <c r="B267" i="16"/>
  <c r="B268" i="16"/>
  <c r="B269" i="16"/>
  <c r="B270" i="16"/>
  <c r="B271" i="16"/>
  <c r="Y271" i="16" s="1"/>
  <c r="B272" i="16"/>
  <c r="B273" i="16"/>
  <c r="B274" i="16"/>
  <c r="B275" i="16"/>
  <c r="Y275" i="16" s="1"/>
  <c r="B276" i="16"/>
  <c r="B277" i="16"/>
  <c r="B278" i="16"/>
  <c r="B279" i="16"/>
  <c r="Y279" i="16" s="1"/>
  <c r="B280" i="16"/>
  <c r="B281" i="16"/>
  <c r="B282" i="16"/>
  <c r="B283" i="16"/>
  <c r="B284" i="16"/>
  <c r="B285" i="16"/>
  <c r="B286" i="16"/>
  <c r="B287" i="16"/>
  <c r="Y287" i="16" s="1"/>
  <c r="B288" i="16"/>
  <c r="B289" i="16"/>
  <c r="B290" i="16"/>
  <c r="B291" i="16"/>
  <c r="B292" i="16"/>
  <c r="B293" i="16"/>
  <c r="B294" i="16"/>
  <c r="B295" i="16"/>
  <c r="Y295" i="16" s="1"/>
  <c r="B296" i="16"/>
  <c r="B297" i="16"/>
  <c r="Y297" i="16" s="1"/>
  <c r="B298" i="16"/>
  <c r="B299" i="16"/>
  <c r="B300" i="16"/>
  <c r="B301" i="16"/>
  <c r="B302" i="16"/>
  <c r="B303" i="16"/>
  <c r="Y303" i="16" s="1"/>
  <c r="B304" i="16"/>
  <c r="Y304" i="16" s="1"/>
  <c r="B305" i="16"/>
  <c r="B306" i="16"/>
  <c r="B307" i="16"/>
  <c r="B308" i="16"/>
  <c r="B309" i="16"/>
  <c r="B310" i="16"/>
  <c r="B311" i="16"/>
  <c r="B312" i="16"/>
  <c r="Y312" i="16" s="1"/>
  <c r="B313" i="16"/>
  <c r="B314" i="16"/>
  <c r="B315" i="16"/>
  <c r="Y315" i="16" s="1"/>
  <c r="B316" i="16"/>
  <c r="B317" i="16"/>
  <c r="B318" i="16"/>
  <c r="B319" i="16"/>
  <c r="Y319" i="16" s="1"/>
  <c r="B320" i="16"/>
  <c r="Y320" i="16" s="1"/>
  <c r="B321" i="16"/>
  <c r="Y321" i="16" s="1"/>
  <c r="B322" i="16"/>
  <c r="Y322" i="16" s="1"/>
  <c r="B323" i="16"/>
  <c r="B324" i="16"/>
  <c r="B325" i="16"/>
  <c r="B326" i="16"/>
  <c r="B327" i="16"/>
  <c r="Y327" i="16" s="1"/>
  <c r="B328" i="16"/>
  <c r="B329" i="16"/>
  <c r="B330" i="16"/>
  <c r="B331" i="16"/>
  <c r="B332" i="16"/>
  <c r="B333" i="16"/>
  <c r="B334" i="16"/>
  <c r="B335" i="16"/>
  <c r="Y335" i="16" s="1"/>
  <c r="B336" i="16"/>
  <c r="B337" i="16"/>
  <c r="Y337" i="16" s="1"/>
  <c r="B338" i="16"/>
  <c r="B339" i="16"/>
  <c r="Y339" i="16" s="1"/>
  <c r="B340" i="16"/>
  <c r="B341" i="16"/>
  <c r="B342" i="16"/>
  <c r="B343" i="16"/>
  <c r="Y343" i="16" s="1"/>
  <c r="B344" i="16"/>
  <c r="Y344" i="16" s="1"/>
  <c r="B345" i="16"/>
  <c r="B346" i="16"/>
  <c r="B347" i="16"/>
  <c r="Y347" i="16" s="1"/>
  <c r="B348" i="16"/>
  <c r="B349" i="16"/>
  <c r="B350" i="16"/>
  <c r="B351" i="16"/>
  <c r="Y351" i="16" s="1"/>
  <c r="B352" i="16"/>
  <c r="Y352" i="16" s="1"/>
  <c r="B353" i="16"/>
  <c r="B354" i="16"/>
  <c r="B355" i="16"/>
  <c r="Y355" i="16" s="1"/>
  <c r="B356" i="16"/>
  <c r="B357" i="16"/>
  <c r="B358" i="16"/>
  <c r="B359" i="16"/>
  <c r="Y359" i="16" s="1"/>
  <c r="B360" i="16"/>
  <c r="B361" i="16"/>
  <c r="B362" i="16"/>
  <c r="B363" i="16"/>
  <c r="Y363" i="16" s="1"/>
  <c r="B364" i="16"/>
  <c r="B365" i="16"/>
  <c r="B366" i="16"/>
  <c r="B367" i="16"/>
  <c r="Y367" i="16" s="1"/>
  <c r="B368" i="16"/>
  <c r="B369" i="16"/>
  <c r="Y369" i="16" s="1"/>
  <c r="B370" i="16"/>
  <c r="B371" i="16"/>
  <c r="B372" i="16"/>
  <c r="B373" i="16"/>
  <c r="B374" i="16"/>
  <c r="B375" i="16"/>
  <c r="Y375" i="16" s="1"/>
  <c r="B376" i="16"/>
  <c r="B377" i="16"/>
  <c r="B378" i="16"/>
  <c r="Y378" i="16" s="1"/>
  <c r="B379" i="16"/>
  <c r="B380" i="16"/>
  <c r="B381" i="16"/>
  <c r="B382" i="16"/>
  <c r="B383" i="16"/>
  <c r="Y383" i="16" s="1"/>
  <c r="B384" i="16"/>
  <c r="B385" i="16"/>
  <c r="Y385" i="16" s="1"/>
  <c r="B386" i="16"/>
  <c r="B387" i="16"/>
  <c r="B388" i="16"/>
  <c r="B389" i="16"/>
  <c r="B390" i="16"/>
  <c r="B391" i="16"/>
  <c r="Y391" i="16" s="1"/>
  <c r="B392" i="16"/>
  <c r="B393" i="16"/>
  <c r="B394" i="16"/>
  <c r="Y394" i="16" s="1"/>
  <c r="B395" i="16"/>
  <c r="B396" i="16"/>
  <c r="B397" i="16"/>
  <c r="B398" i="16"/>
  <c r="B399" i="16"/>
  <c r="Y399" i="16" s="1"/>
  <c r="B400" i="16"/>
  <c r="B401" i="16"/>
  <c r="B402" i="16"/>
  <c r="Y402" i="16" s="1"/>
  <c r="B403" i="16"/>
  <c r="B404" i="16"/>
  <c r="B405" i="16"/>
  <c r="B406" i="16"/>
  <c r="B407" i="16"/>
  <c r="Y407" i="16" s="1"/>
  <c r="B408" i="16"/>
  <c r="B409" i="16"/>
  <c r="B410" i="16"/>
  <c r="B411" i="16"/>
  <c r="B412" i="16"/>
  <c r="B413" i="16"/>
  <c r="B414" i="16"/>
  <c r="B415" i="16"/>
  <c r="Y415" i="16" s="1"/>
  <c r="B416" i="16"/>
  <c r="B417" i="16"/>
  <c r="B418" i="16"/>
  <c r="B419" i="16"/>
  <c r="B420" i="16"/>
  <c r="B421" i="16"/>
  <c r="B422" i="16"/>
  <c r="B423" i="16"/>
  <c r="B424" i="16"/>
  <c r="B425" i="16"/>
  <c r="B426" i="16"/>
  <c r="B427" i="16"/>
  <c r="B428" i="16"/>
  <c r="B429" i="16"/>
  <c r="B430" i="16"/>
  <c r="B431" i="16"/>
  <c r="Y431" i="16" s="1"/>
  <c r="B432" i="16"/>
  <c r="B433" i="16"/>
  <c r="B434" i="16"/>
  <c r="B435" i="16"/>
  <c r="B436" i="16"/>
  <c r="B437" i="16"/>
  <c r="B438" i="16"/>
  <c r="B439" i="16"/>
  <c r="Y439" i="16" s="1"/>
  <c r="B440" i="16"/>
  <c r="B441" i="16"/>
  <c r="B442" i="16"/>
  <c r="B443" i="16"/>
  <c r="B444" i="16"/>
  <c r="B445" i="16"/>
  <c r="B446" i="16"/>
  <c r="B447" i="16"/>
  <c r="Y447" i="16" s="1"/>
  <c r="B448" i="16"/>
  <c r="B449" i="16"/>
  <c r="B450" i="16"/>
  <c r="B451" i="16"/>
  <c r="B452" i="16"/>
  <c r="B453" i="16"/>
  <c r="B454" i="16"/>
  <c r="B455" i="16"/>
  <c r="Y455" i="16" s="1"/>
  <c r="B456" i="16"/>
  <c r="B457" i="16"/>
  <c r="B458" i="16"/>
  <c r="B459" i="16"/>
  <c r="B460" i="16"/>
  <c r="B461" i="16"/>
  <c r="B462" i="16"/>
  <c r="B463" i="16"/>
  <c r="B464" i="16"/>
  <c r="B465" i="16"/>
  <c r="B466" i="16"/>
  <c r="B467" i="16"/>
  <c r="B468" i="16"/>
  <c r="B469" i="16"/>
  <c r="B470" i="16"/>
  <c r="B471" i="16"/>
  <c r="B472" i="16"/>
  <c r="B473" i="16"/>
  <c r="B474" i="16"/>
  <c r="B475" i="16"/>
  <c r="Y475" i="16" s="1"/>
  <c r="B476" i="16"/>
  <c r="B477" i="16"/>
  <c r="B478" i="16"/>
  <c r="B479" i="16"/>
  <c r="B480" i="16"/>
  <c r="B481" i="16"/>
  <c r="B482" i="16"/>
  <c r="B483" i="16"/>
  <c r="B484" i="16"/>
  <c r="B485" i="16"/>
  <c r="B486" i="16"/>
  <c r="B487" i="16"/>
  <c r="B488" i="16"/>
  <c r="B489" i="16"/>
  <c r="B490" i="16"/>
  <c r="B491" i="16"/>
  <c r="Y491" i="16" s="1"/>
  <c r="B492" i="16"/>
  <c r="B493" i="16"/>
  <c r="B494" i="16"/>
  <c r="B495" i="16"/>
  <c r="Y495" i="16" s="1"/>
  <c r="B496" i="16"/>
  <c r="B497" i="16"/>
  <c r="B498" i="16"/>
  <c r="B499" i="16"/>
  <c r="Y499" i="16" s="1"/>
  <c r="B500" i="16"/>
  <c r="B501" i="16"/>
  <c r="B502" i="16"/>
  <c r="B503" i="16"/>
  <c r="Y503" i="16" s="1"/>
  <c r="B504" i="16"/>
  <c r="B505" i="16"/>
  <c r="B506" i="16"/>
  <c r="Y506" i="16" s="1"/>
  <c r="B507" i="16"/>
  <c r="B508" i="16"/>
  <c r="B509" i="16"/>
  <c r="B510" i="16"/>
  <c r="B511" i="16"/>
  <c r="Y511" i="16" s="1"/>
  <c r="B512" i="16"/>
  <c r="B513" i="16"/>
  <c r="B514" i="16"/>
  <c r="B515" i="16"/>
  <c r="B516" i="16"/>
  <c r="B517" i="16"/>
  <c r="B518" i="16"/>
  <c r="B519" i="16"/>
  <c r="Y519" i="16" s="1"/>
  <c r="B520" i="16"/>
  <c r="Y520" i="16" s="1"/>
  <c r="B521" i="16"/>
  <c r="B522" i="16"/>
  <c r="B523" i="16"/>
  <c r="B524" i="16"/>
  <c r="B525" i="16"/>
  <c r="B526" i="16"/>
  <c r="B527" i="16"/>
  <c r="Y527" i="16" s="1"/>
  <c r="B528" i="16"/>
  <c r="B529" i="16"/>
  <c r="B530" i="16"/>
  <c r="B531" i="16"/>
  <c r="B532" i="16"/>
  <c r="B533" i="16"/>
  <c r="B534" i="16"/>
  <c r="B535" i="16"/>
  <c r="Y535" i="16" s="1"/>
  <c r="B536" i="16"/>
  <c r="B537" i="16"/>
  <c r="Y537" i="16" s="1"/>
  <c r="B538" i="16"/>
  <c r="B539" i="16"/>
  <c r="B540" i="16"/>
  <c r="B541" i="16"/>
  <c r="B542" i="16"/>
  <c r="B543" i="16"/>
  <c r="Y543" i="16" s="1"/>
  <c r="B544" i="16"/>
  <c r="B545" i="16"/>
  <c r="Y545" i="16" s="1"/>
  <c r="B546" i="16"/>
  <c r="B547" i="16"/>
  <c r="B548" i="16"/>
  <c r="B549" i="16"/>
  <c r="B550" i="16"/>
  <c r="B551" i="16"/>
  <c r="Y551" i="16" s="1"/>
  <c r="B552" i="16"/>
  <c r="Y552" i="16" s="1"/>
  <c r="B553" i="16"/>
  <c r="B554" i="16"/>
  <c r="B555" i="16"/>
  <c r="B556" i="16"/>
  <c r="B557" i="16"/>
  <c r="B558" i="16"/>
  <c r="B559" i="16"/>
  <c r="Y559" i="16" s="1"/>
  <c r="B560" i="16"/>
  <c r="B561" i="16"/>
  <c r="B562" i="16"/>
  <c r="B563" i="16"/>
  <c r="B564" i="16"/>
  <c r="B565" i="16"/>
  <c r="B566" i="16"/>
  <c r="B567" i="16"/>
  <c r="Y567" i="16" s="1"/>
  <c r="B568" i="16"/>
  <c r="B569" i="16"/>
  <c r="B570" i="16"/>
  <c r="Y570" i="16" s="1"/>
  <c r="B571" i="16"/>
  <c r="Y571" i="16" s="1"/>
  <c r="B572" i="16"/>
  <c r="B573" i="16"/>
  <c r="B574" i="16"/>
  <c r="B575" i="16"/>
  <c r="Y575" i="16" s="1"/>
  <c r="B576" i="16"/>
  <c r="B577" i="16"/>
  <c r="B578" i="16"/>
  <c r="B579" i="16"/>
  <c r="Y579" i="16" s="1"/>
  <c r="B580" i="16"/>
  <c r="B581" i="16"/>
  <c r="B582" i="16"/>
  <c r="B583" i="16"/>
  <c r="Y583" i="16" s="1"/>
  <c r="B584" i="16"/>
  <c r="B585" i="16"/>
  <c r="B586" i="16"/>
  <c r="B587" i="16"/>
  <c r="Y587" i="16" s="1"/>
  <c r="B588" i="16"/>
  <c r="B589" i="16"/>
  <c r="B590" i="16"/>
  <c r="B591" i="16"/>
  <c r="Y591" i="16" s="1"/>
  <c r="B592" i="16"/>
  <c r="B593" i="16"/>
  <c r="B594" i="16"/>
  <c r="Y594" i="16" s="1"/>
  <c r="B595" i="16"/>
  <c r="Y595" i="16" s="1"/>
  <c r="B596" i="16"/>
  <c r="B597" i="16"/>
  <c r="B598" i="16"/>
  <c r="B599" i="16"/>
  <c r="Y599" i="16" s="1"/>
  <c r="B600" i="16"/>
  <c r="B601" i="16"/>
  <c r="Y601" i="16" s="1"/>
  <c r="B602" i="16"/>
  <c r="B603" i="16"/>
  <c r="Y603" i="16" s="1"/>
  <c r="B604" i="16"/>
  <c r="B605" i="16"/>
  <c r="B606" i="16"/>
  <c r="B607" i="16"/>
  <c r="Y607" i="16" s="1"/>
  <c r="B608" i="16"/>
  <c r="B609" i="16"/>
  <c r="Y609" i="16" s="1"/>
  <c r="B610" i="16"/>
  <c r="B611" i="16"/>
  <c r="Y611" i="16" s="1"/>
  <c r="B612" i="16"/>
  <c r="B613" i="16"/>
  <c r="B614" i="16"/>
  <c r="B615" i="16"/>
  <c r="Y615" i="16" s="1"/>
  <c r="B616" i="16"/>
  <c r="B617" i="16"/>
  <c r="B618" i="16"/>
  <c r="Y618" i="16" s="1"/>
  <c r="B619" i="16"/>
  <c r="Y619" i="16" s="1"/>
  <c r="B620" i="16"/>
  <c r="B621" i="16"/>
  <c r="B622" i="16"/>
  <c r="B623" i="16"/>
  <c r="Y623" i="16" s="1"/>
  <c r="B624" i="16"/>
  <c r="B625" i="16"/>
  <c r="Y625" i="16" s="1"/>
  <c r="B626" i="16"/>
  <c r="Y626" i="16" s="1"/>
  <c r="B627" i="16"/>
  <c r="Y627" i="16" s="1"/>
  <c r="B628" i="16"/>
  <c r="B629" i="16"/>
  <c r="B630" i="16"/>
  <c r="B631" i="16"/>
  <c r="Y631" i="16" s="1"/>
  <c r="B632" i="16"/>
  <c r="B633" i="16"/>
  <c r="B634" i="16"/>
  <c r="Y634" i="16" s="1"/>
  <c r="B635" i="16"/>
  <c r="B636" i="16"/>
  <c r="B637" i="16"/>
  <c r="B638" i="16"/>
  <c r="B639" i="16"/>
  <c r="Y639" i="16" s="1"/>
  <c r="B640" i="16"/>
  <c r="B641" i="16"/>
  <c r="B642" i="16"/>
  <c r="B643" i="16"/>
  <c r="Y643" i="16" s="1"/>
  <c r="B644" i="16"/>
  <c r="B645" i="16"/>
  <c r="B646" i="16"/>
  <c r="B647" i="16"/>
  <c r="Y647" i="16" s="1"/>
  <c r="B648" i="16"/>
  <c r="Y648" i="16" s="1"/>
  <c r="B649" i="16"/>
  <c r="B650" i="16"/>
  <c r="B651" i="16"/>
  <c r="B652" i="16"/>
  <c r="B653" i="16"/>
  <c r="B654" i="16"/>
  <c r="B655" i="16"/>
  <c r="Y655" i="16" s="1"/>
  <c r="B656" i="16"/>
  <c r="Y656" i="16" s="1"/>
  <c r="B657" i="16"/>
  <c r="B658" i="16"/>
  <c r="B659" i="16"/>
  <c r="B660" i="16"/>
  <c r="B661" i="16"/>
  <c r="B662" i="16"/>
  <c r="B663" i="16"/>
  <c r="Y663" i="16" s="1"/>
  <c r="B664" i="16"/>
  <c r="B665" i="16"/>
  <c r="B666" i="16"/>
  <c r="B667" i="16"/>
  <c r="Y667" i="16" s="1"/>
  <c r="B668" i="16"/>
  <c r="B669" i="16"/>
  <c r="B670" i="16"/>
  <c r="B671" i="16"/>
  <c r="Y671" i="16" s="1"/>
  <c r="B672" i="16"/>
  <c r="B673" i="16"/>
  <c r="B674" i="16"/>
  <c r="B675" i="16"/>
  <c r="B676" i="16"/>
  <c r="B677" i="16"/>
  <c r="B678" i="16"/>
  <c r="B679" i="16"/>
  <c r="Y679" i="16" s="1"/>
  <c r="B680" i="16"/>
  <c r="B681" i="16"/>
  <c r="B682" i="16"/>
  <c r="B683" i="16"/>
  <c r="Y683" i="16" s="1"/>
  <c r="B684" i="16"/>
  <c r="B685" i="16"/>
  <c r="B686" i="16"/>
  <c r="B687" i="16"/>
  <c r="Y687" i="16" s="1"/>
  <c r="B688" i="16"/>
  <c r="Y688" i="16" s="1"/>
  <c r="B689" i="16"/>
  <c r="B690" i="16"/>
  <c r="B691" i="16"/>
  <c r="B692" i="16"/>
  <c r="B693" i="16"/>
  <c r="B694" i="16"/>
  <c r="B695" i="16"/>
  <c r="Y695" i="16" s="1"/>
  <c r="B696" i="16"/>
  <c r="B697" i="16"/>
  <c r="B698" i="16"/>
  <c r="Y698" i="16" s="1"/>
  <c r="B699" i="16"/>
  <c r="B700" i="16"/>
  <c r="B701" i="16"/>
  <c r="B702" i="16"/>
  <c r="B703" i="16"/>
  <c r="Y703" i="16" s="1"/>
  <c r="B704" i="16"/>
  <c r="B705" i="16"/>
  <c r="Y705" i="16" s="1"/>
  <c r="B706" i="16"/>
  <c r="B707" i="16"/>
  <c r="Y707" i="16" s="1"/>
  <c r="B708" i="16"/>
  <c r="B709" i="16"/>
  <c r="B710" i="16"/>
  <c r="B711" i="16"/>
  <c r="Y711" i="16" s="1"/>
  <c r="B712" i="16"/>
  <c r="B713" i="16"/>
  <c r="Y713" i="16" s="1"/>
  <c r="B714" i="16"/>
  <c r="B715" i="16"/>
  <c r="Y715" i="16" s="1"/>
  <c r="B716" i="16"/>
  <c r="B717" i="16"/>
  <c r="B718" i="16"/>
  <c r="B719" i="16"/>
  <c r="Y719" i="16" s="1"/>
  <c r="B720" i="16"/>
  <c r="B721" i="16"/>
  <c r="B722" i="16"/>
  <c r="B723" i="16"/>
  <c r="B724" i="16"/>
  <c r="B725" i="16"/>
  <c r="B726" i="16"/>
  <c r="B727" i="16"/>
  <c r="B728" i="16"/>
  <c r="B729" i="16"/>
  <c r="B730" i="16"/>
  <c r="Y730" i="16" s="1"/>
  <c r="B731" i="16"/>
  <c r="B732" i="16"/>
  <c r="B733" i="16"/>
  <c r="B734" i="16"/>
  <c r="B735" i="16"/>
  <c r="Y735" i="16" s="1"/>
  <c r="B736" i="16"/>
  <c r="B737" i="16"/>
  <c r="B738" i="16"/>
  <c r="B739" i="16"/>
  <c r="B740" i="16"/>
  <c r="B741" i="16"/>
  <c r="B742" i="16"/>
  <c r="B743" i="16"/>
  <c r="Y743" i="16" s="1"/>
  <c r="B744" i="16"/>
  <c r="B745" i="16"/>
  <c r="Y745" i="16" s="1"/>
  <c r="B746" i="16"/>
  <c r="B747" i="16"/>
  <c r="Y747" i="16" s="1"/>
  <c r="B748" i="16"/>
  <c r="B749" i="16"/>
  <c r="B750" i="16"/>
  <c r="B751" i="16"/>
  <c r="Y751" i="16" s="1"/>
  <c r="B752" i="16"/>
  <c r="B753" i="16"/>
  <c r="Y753" i="16" s="1"/>
  <c r="B754" i="16"/>
  <c r="B755" i="16"/>
  <c r="B756" i="16"/>
  <c r="B757" i="16"/>
  <c r="B758" i="16"/>
  <c r="B759" i="16"/>
  <c r="Y759" i="16" s="1"/>
  <c r="B760" i="16"/>
  <c r="B761" i="16"/>
  <c r="B762" i="16"/>
  <c r="Y762" i="16" s="1"/>
  <c r="B763" i="16"/>
  <c r="Y763" i="16" s="1"/>
  <c r="B764" i="16"/>
  <c r="B765" i="16"/>
  <c r="B766" i="16"/>
  <c r="B767" i="16"/>
  <c r="Y767" i="16" s="1"/>
  <c r="B768" i="16"/>
  <c r="Y768" i="16" s="1"/>
  <c r="B769" i="16"/>
  <c r="B770" i="16"/>
  <c r="Y770" i="16" s="1"/>
  <c r="B771" i="16"/>
  <c r="Y771" i="16" s="1"/>
  <c r="B772" i="16"/>
  <c r="B773" i="16"/>
  <c r="B774" i="16"/>
  <c r="B775" i="16"/>
  <c r="Y775" i="16" s="1"/>
  <c r="B776" i="16"/>
  <c r="B777" i="16"/>
  <c r="B778" i="16"/>
  <c r="Y778" i="16" s="1"/>
  <c r="B779" i="16"/>
  <c r="Y779" i="16" s="1"/>
  <c r="B780" i="16"/>
  <c r="B781" i="16"/>
  <c r="B782" i="16"/>
  <c r="B783" i="16"/>
  <c r="Y783" i="16" s="1"/>
  <c r="B784" i="16"/>
  <c r="B785" i="16"/>
  <c r="Y785" i="16" s="1"/>
  <c r="B786" i="16"/>
  <c r="B787" i="16"/>
  <c r="Y787" i="16" s="1"/>
  <c r="B788" i="16"/>
  <c r="B789" i="16"/>
  <c r="B790" i="16"/>
  <c r="B791" i="16"/>
  <c r="Y791" i="16" s="1"/>
  <c r="B792" i="16"/>
  <c r="B793" i="16"/>
  <c r="Y793" i="16" s="1"/>
  <c r="B794" i="16"/>
  <c r="Y794" i="16" s="1"/>
  <c r="B795" i="16"/>
  <c r="Y795" i="16" s="1"/>
  <c r="B796" i="16"/>
  <c r="B797" i="16"/>
  <c r="B798" i="16"/>
  <c r="B799" i="16"/>
  <c r="Y799" i="16" s="1"/>
  <c r="B800" i="16"/>
  <c r="B801" i="16"/>
  <c r="Y801" i="16" s="1"/>
  <c r="B802" i="16"/>
  <c r="B803" i="16"/>
  <c r="B804" i="16"/>
  <c r="B805" i="16"/>
  <c r="B806" i="16"/>
  <c r="B807" i="16"/>
  <c r="Y807" i="16" s="1"/>
  <c r="B808" i="16"/>
  <c r="B809" i="16"/>
  <c r="B810" i="16"/>
  <c r="Y810" i="16" s="1"/>
  <c r="B811" i="16"/>
  <c r="Y811" i="16" s="1"/>
  <c r="B812" i="16"/>
  <c r="B813" i="16"/>
  <c r="B814" i="16"/>
  <c r="B815" i="16"/>
  <c r="Y815" i="16" s="1"/>
  <c r="B816" i="16"/>
  <c r="B817" i="16"/>
  <c r="B818" i="16"/>
  <c r="Y818" i="16" s="1"/>
  <c r="B819" i="16"/>
  <c r="B820" i="16"/>
  <c r="B821" i="16"/>
  <c r="B822" i="16"/>
  <c r="B823" i="16"/>
  <c r="Y823" i="16" s="1"/>
  <c r="B824" i="16"/>
  <c r="B825" i="16"/>
  <c r="Y825" i="16" s="1"/>
  <c r="B826" i="16"/>
  <c r="B827" i="16"/>
  <c r="Y827" i="16" s="1"/>
  <c r="B828" i="16"/>
  <c r="B829" i="16"/>
  <c r="B830" i="16"/>
  <c r="B831" i="16"/>
  <c r="Y831" i="16" s="1"/>
  <c r="B832" i="16"/>
  <c r="Y832" i="16" s="1"/>
  <c r="B833" i="16"/>
  <c r="Y833" i="16" s="1"/>
  <c r="B834" i="16"/>
  <c r="B835" i="16"/>
  <c r="B836" i="16"/>
  <c r="B837" i="16"/>
  <c r="B838" i="16"/>
  <c r="B839" i="16"/>
  <c r="Y839" i="16" s="1"/>
  <c r="B840" i="16"/>
  <c r="B841" i="16"/>
  <c r="B842" i="16"/>
  <c r="Y842" i="16" s="1"/>
  <c r="B843" i="16"/>
  <c r="B844" i="16"/>
  <c r="B845" i="16"/>
  <c r="B846" i="16"/>
  <c r="B847" i="16"/>
  <c r="Y847" i="16" s="1"/>
  <c r="B848" i="16"/>
  <c r="B849" i="16"/>
  <c r="B850" i="16"/>
  <c r="Y850" i="16" s="1"/>
  <c r="B851" i="16"/>
  <c r="Y851" i="16" s="1"/>
  <c r="B852" i="16"/>
  <c r="B853" i="16"/>
  <c r="B854" i="16"/>
  <c r="B855" i="16"/>
  <c r="B856" i="16"/>
  <c r="Y856" i="16" s="1"/>
  <c r="B857" i="16"/>
  <c r="B858" i="16"/>
  <c r="B859" i="16"/>
  <c r="B860" i="16"/>
  <c r="B861" i="16"/>
  <c r="B862" i="16"/>
  <c r="B863" i="16"/>
  <c r="B864" i="16"/>
  <c r="B865" i="16"/>
  <c r="B866" i="16"/>
  <c r="B867" i="16"/>
  <c r="Y867" i="16" s="1"/>
  <c r="B868" i="16"/>
  <c r="B869" i="16"/>
  <c r="B870" i="16"/>
  <c r="B871" i="16"/>
  <c r="Y871" i="16" s="1"/>
  <c r="B872" i="16"/>
  <c r="B873" i="16"/>
  <c r="B874" i="16"/>
  <c r="Y874" i="16" s="1"/>
  <c r="B875" i="16"/>
  <c r="B876" i="16"/>
  <c r="B877" i="16"/>
  <c r="B878" i="16"/>
  <c r="B879" i="16"/>
  <c r="Y879" i="16" s="1"/>
  <c r="B880" i="16"/>
  <c r="B881" i="16"/>
  <c r="Y881" i="16" s="1"/>
  <c r="B882" i="16"/>
  <c r="B883" i="16"/>
  <c r="B884" i="16"/>
  <c r="B885" i="16"/>
  <c r="B886" i="16"/>
  <c r="B887" i="16"/>
  <c r="Y887" i="16" s="1"/>
  <c r="B888" i="16"/>
  <c r="B889" i="16"/>
  <c r="Y889" i="16" s="1"/>
  <c r="B890" i="16"/>
  <c r="B891" i="16"/>
  <c r="Y891" i="16" s="1"/>
  <c r="B892" i="16"/>
  <c r="B893" i="16"/>
  <c r="B894" i="16"/>
  <c r="B895" i="16"/>
  <c r="Y895" i="16" s="1"/>
  <c r="B896" i="16"/>
  <c r="B897" i="16"/>
  <c r="Y897" i="16" s="1"/>
  <c r="B898" i="16"/>
  <c r="B899" i="16"/>
  <c r="B900" i="16"/>
  <c r="B901" i="16"/>
  <c r="B902" i="16"/>
  <c r="B903" i="16"/>
  <c r="Y903" i="16" s="1"/>
  <c r="B904" i="16"/>
  <c r="B905" i="16"/>
  <c r="B906" i="16"/>
  <c r="Y906" i="16" s="1"/>
  <c r="B907" i="16"/>
  <c r="B908" i="16"/>
  <c r="B909" i="16"/>
  <c r="B910" i="16"/>
  <c r="B911" i="16"/>
  <c r="Y911" i="16" s="1"/>
  <c r="B912" i="16"/>
  <c r="B913" i="16"/>
  <c r="B914" i="16"/>
  <c r="B915" i="16"/>
  <c r="Y915" i="16" s="1"/>
  <c r="B916" i="16"/>
  <c r="B917" i="16"/>
  <c r="B918" i="16"/>
  <c r="B919" i="16"/>
  <c r="Y919" i="16" s="1"/>
  <c r="B920" i="16"/>
  <c r="Y920" i="16" s="1"/>
  <c r="B921" i="16"/>
  <c r="B922" i="16"/>
  <c r="Y922" i="16" s="1"/>
  <c r="B923" i="16"/>
  <c r="B924" i="16"/>
  <c r="B925" i="16"/>
  <c r="B926" i="16"/>
  <c r="B927" i="16"/>
  <c r="Y927" i="16" s="1"/>
  <c r="B928" i="16"/>
  <c r="B929" i="16"/>
  <c r="B930" i="16"/>
  <c r="B931" i="16"/>
  <c r="B932" i="16"/>
  <c r="B933" i="16"/>
  <c r="B934" i="16"/>
  <c r="B935" i="16"/>
  <c r="Y935" i="16" s="1"/>
  <c r="B936" i="16"/>
  <c r="B937" i="16"/>
  <c r="B938" i="16"/>
  <c r="B939" i="16"/>
  <c r="Y939" i="16" s="1"/>
  <c r="B940" i="16"/>
  <c r="B941" i="16"/>
  <c r="B942" i="16"/>
  <c r="B943" i="16"/>
  <c r="Y943" i="16" s="1"/>
  <c r="B944" i="16"/>
  <c r="B945" i="16"/>
  <c r="B946" i="16"/>
  <c r="B947" i="16"/>
  <c r="Y947" i="16" s="1"/>
  <c r="B948" i="16"/>
  <c r="B949" i="16"/>
  <c r="B950" i="16"/>
  <c r="B951" i="16"/>
  <c r="Y951" i="16" s="1"/>
  <c r="B952" i="16"/>
  <c r="B953" i="16"/>
  <c r="B954" i="16"/>
  <c r="B955" i="16"/>
  <c r="Y955" i="16" s="1"/>
  <c r="B956" i="16"/>
  <c r="B957" i="16"/>
  <c r="B958" i="16"/>
  <c r="B959" i="16"/>
  <c r="Y959" i="16" s="1"/>
  <c r="B960" i="16"/>
  <c r="B961" i="16"/>
  <c r="B962" i="16"/>
  <c r="B963" i="16"/>
  <c r="B964" i="16"/>
  <c r="B965" i="16"/>
  <c r="B967" i="16"/>
  <c r="B968" i="16"/>
  <c r="Y968" i="16" s="1"/>
  <c r="B969" i="16"/>
  <c r="B970" i="16"/>
  <c r="B971" i="16"/>
  <c r="B972" i="16"/>
  <c r="B973" i="16"/>
  <c r="B974" i="16"/>
  <c r="B975" i="16"/>
  <c r="B976" i="16"/>
  <c r="Y976" i="16" s="1"/>
  <c r="B977" i="16"/>
  <c r="B978" i="16"/>
  <c r="B979" i="16"/>
  <c r="B980" i="16"/>
  <c r="B981" i="16"/>
  <c r="B982" i="16"/>
  <c r="B983" i="16"/>
  <c r="B984" i="16"/>
  <c r="Y984" i="16" s="1"/>
  <c r="B985" i="16"/>
  <c r="B986" i="16"/>
  <c r="B987" i="16"/>
  <c r="B988" i="16"/>
  <c r="Y988" i="16" s="1"/>
  <c r="B989" i="16"/>
  <c r="B990" i="16"/>
  <c r="B991" i="16"/>
  <c r="B992" i="16"/>
  <c r="Y992" i="16" s="1"/>
  <c r="B993" i="16"/>
  <c r="B994" i="16"/>
  <c r="B995" i="16"/>
  <c r="B996" i="16"/>
  <c r="B997" i="16"/>
  <c r="B998" i="16"/>
  <c r="B999" i="16"/>
  <c r="B1000" i="16"/>
  <c r="Y1000" i="16" s="1"/>
  <c r="B1001" i="16"/>
  <c r="B1002" i="16"/>
  <c r="B1003" i="16"/>
  <c r="Y1003" i="16" s="1"/>
  <c r="B1004" i="16"/>
  <c r="B1005" i="16"/>
  <c r="B1006" i="16"/>
  <c r="B1007" i="16"/>
  <c r="B1008" i="16"/>
  <c r="Y1008" i="16" s="1"/>
  <c r="B1009" i="16"/>
  <c r="B1010" i="16"/>
  <c r="B1011" i="16"/>
  <c r="Y1011" i="16" s="1"/>
  <c r="B1012" i="16"/>
  <c r="Y1012" i="16" s="1"/>
  <c r="B1013" i="16"/>
  <c r="B1014" i="16"/>
  <c r="B1015" i="16"/>
  <c r="B1016" i="16"/>
  <c r="Y1016" i="16" s="1"/>
  <c r="B1017" i="16"/>
  <c r="B1018" i="16"/>
  <c r="B1019" i="16"/>
  <c r="B1020" i="16"/>
  <c r="B1021" i="16"/>
  <c r="B1022" i="16"/>
  <c r="B1023" i="16"/>
  <c r="B1024" i="16"/>
  <c r="Y1024" i="16" s="1"/>
  <c r="B1025" i="16"/>
  <c r="Y1025" i="16" s="1"/>
  <c r="B1026" i="16"/>
  <c r="B1027" i="16"/>
  <c r="B1028" i="16"/>
  <c r="Y1028" i="16" s="1"/>
  <c r="B1029" i="16"/>
  <c r="B1030" i="16"/>
  <c r="B1031" i="16"/>
  <c r="B1032" i="16"/>
  <c r="Y1032" i="16" s="1"/>
  <c r="B1033" i="16"/>
  <c r="B1034" i="16"/>
  <c r="B1035" i="16"/>
  <c r="B1036" i="16"/>
  <c r="B1037" i="16"/>
  <c r="B1038" i="16"/>
  <c r="B1039" i="16"/>
  <c r="B1040" i="16"/>
  <c r="Y1040" i="16" s="1"/>
  <c r="B1041" i="16"/>
  <c r="Y1041" i="16" s="1"/>
  <c r="B1042" i="16"/>
  <c r="B1043" i="16"/>
  <c r="B1044" i="16"/>
  <c r="B1045" i="16"/>
  <c r="B1046" i="16"/>
  <c r="B1047" i="16"/>
  <c r="B1048" i="16"/>
  <c r="Y1048" i="16" s="1"/>
  <c r="B1049" i="16"/>
  <c r="B1050" i="16"/>
  <c r="B1051" i="16"/>
  <c r="B1052" i="16"/>
  <c r="B1053" i="16"/>
  <c r="B1054" i="16"/>
  <c r="B1055" i="16"/>
  <c r="B1056" i="16"/>
  <c r="Y1056" i="16" s="1"/>
  <c r="B1057" i="16"/>
  <c r="B1058" i="16"/>
  <c r="B1059" i="16"/>
  <c r="B1060" i="16"/>
  <c r="B1061" i="16"/>
  <c r="B1062" i="16"/>
  <c r="B1063" i="16"/>
  <c r="B1064" i="16"/>
  <c r="Y1064" i="16" s="1"/>
  <c r="B1065" i="16"/>
  <c r="B1066" i="16"/>
  <c r="B1067" i="16"/>
  <c r="B1068" i="16"/>
  <c r="B1069" i="16"/>
  <c r="B1070" i="16"/>
  <c r="B1071" i="16"/>
  <c r="B1072" i="16"/>
  <c r="Y1072" i="16" s="1"/>
  <c r="B1073" i="16"/>
  <c r="Y1073" i="16" s="1"/>
  <c r="B1074" i="16"/>
  <c r="B1075" i="16"/>
  <c r="B1076" i="16"/>
  <c r="Y1076" i="16" s="1"/>
  <c r="B1077" i="16"/>
  <c r="B1078" i="16"/>
  <c r="B1079" i="16"/>
  <c r="B1080" i="16"/>
  <c r="Y1080" i="16" s="1"/>
  <c r="B1081" i="16"/>
  <c r="B1082" i="16"/>
  <c r="B1083" i="16"/>
  <c r="Y1083" i="16" s="1"/>
  <c r="B1084" i="16"/>
  <c r="Y1084" i="16" s="1"/>
  <c r="B1085" i="16"/>
  <c r="B1086" i="16"/>
  <c r="B1087" i="16"/>
  <c r="B1088" i="16"/>
  <c r="Y1088" i="16" s="1"/>
  <c r="B1089" i="16"/>
  <c r="B1090" i="16"/>
  <c r="B1091" i="16"/>
  <c r="B1092" i="16"/>
  <c r="Y1092" i="16" s="1"/>
  <c r="B1093" i="16"/>
  <c r="B1094" i="16"/>
  <c r="B1095" i="16"/>
  <c r="B1096" i="16"/>
  <c r="Y1096" i="16" s="1"/>
  <c r="B1097" i="16"/>
  <c r="B1098" i="16"/>
  <c r="B1099" i="16"/>
  <c r="Y1099" i="16" s="1"/>
  <c r="B1100" i="16"/>
  <c r="B1101" i="16"/>
  <c r="B1102" i="16"/>
  <c r="B1103" i="16"/>
  <c r="B1104" i="16"/>
  <c r="Y1104" i="16" s="1"/>
  <c r="B1105" i="16"/>
  <c r="Y1105" i="16" s="1"/>
  <c r="B1106" i="16"/>
  <c r="B1107" i="16"/>
  <c r="B1108" i="16"/>
  <c r="B1109" i="16"/>
  <c r="B1110" i="16"/>
  <c r="B1111" i="16"/>
  <c r="B1112" i="16"/>
  <c r="Y1112" i="16" s="1"/>
  <c r="B1113" i="16"/>
  <c r="Y1113" i="16" s="1"/>
  <c r="B1114" i="16"/>
  <c r="B1115" i="16"/>
  <c r="B1116" i="16"/>
  <c r="Y1116" i="16" s="1"/>
  <c r="B1117" i="16"/>
  <c r="B1118" i="16"/>
  <c r="B1119" i="16"/>
  <c r="B1120" i="16"/>
  <c r="Y1120" i="16" s="1"/>
  <c r="B1121" i="16"/>
  <c r="B1122" i="16"/>
  <c r="B1123" i="16"/>
  <c r="B1124" i="16"/>
  <c r="Y1124" i="16" s="1"/>
  <c r="B1125" i="16"/>
  <c r="B1126" i="16"/>
  <c r="B1127" i="16"/>
  <c r="B1128" i="16"/>
  <c r="Y1128" i="16" s="1"/>
  <c r="B1129" i="16"/>
  <c r="B1130" i="16"/>
  <c r="B1131" i="16"/>
  <c r="Y1131" i="16" s="1"/>
  <c r="B1132" i="16"/>
  <c r="B1133" i="16"/>
  <c r="B1134" i="16"/>
  <c r="B1135" i="16"/>
  <c r="B1136" i="16"/>
  <c r="B1137" i="16"/>
  <c r="B1138" i="16"/>
  <c r="B1139" i="16"/>
  <c r="B1140" i="16"/>
  <c r="Y1140" i="16" s="1"/>
  <c r="B1141" i="16"/>
  <c r="B1142" i="16"/>
  <c r="B1143" i="16"/>
  <c r="B1144" i="16"/>
  <c r="B1145" i="16"/>
  <c r="B1146" i="16"/>
  <c r="B1147" i="16"/>
  <c r="B1148" i="16"/>
  <c r="B1149" i="16"/>
  <c r="B1150" i="16"/>
  <c r="B1151" i="16"/>
  <c r="B1152" i="16"/>
  <c r="Y1152" i="16" s="1"/>
  <c r="B1153" i="16"/>
  <c r="B1154" i="16"/>
  <c r="B1155" i="16"/>
  <c r="B1156" i="16"/>
  <c r="Y1156" i="16" s="1"/>
  <c r="B1157" i="16"/>
  <c r="B1158" i="16"/>
  <c r="B1159" i="16"/>
  <c r="B1160" i="16"/>
  <c r="Y1160" i="16" s="1"/>
  <c r="B1161" i="16"/>
  <c r="B1162" i="16"/>
  <c r="B1163" i="16"/>
  <c r="Y1163" i="16" s="1"/>
  <c r="B1164" i="16"/>
  <c r="Y1164" i="16" s="1"/>
  <c r="B1165" i="16"/>
  <c r="B1166" i="16"/>
  <c r="B1167" i="16"/>
  <c r="B1168" i="16"/>
  <c r="Y1168" i="16" s="1"/>
  <c r="B1169" i="16"/>
  <c r="B1170" i="16"/>
  <c r="Y1170" i="16" s="1"/>
  <c r="B1171" i="16"/>
  <c r="Y1171" i="16" s="1"/>
  <c r="B1172" i="16"/>
  <c r="Y1172" i="16" s="1"/>
  <c r="B1173" i="16"/>
  <c r="B1174" i="16"/>
  <c r="B1175" i="16"/>
  <c r="B1176" i="16"/>
  <c r="Y1176" i="16" s="1"/>
  <c r="B1177" i="16"/>
  <c r="B1178" i="16"/>
  <c r="B1179" i="16"/>
  <c r="B1180" i="16"/>
  <c r="B1181" i="16"/>
  <c r="B1182" i="16"/>
  <c r="B1183" i="16"/>
  <c r="B1184" i="16"/>
  <c r="Y1184" i="16" s="1"/>
  <c r="B1185" i="16"/>
  <c r="B1186" i="16"/>
  <c r="B1187" i="16"/>
  <c r="B1188" i="16"/>
  <c r="B1189" i="16"/>
  <c r="B1190" i="16"/>
  <c r="B1191" i="16"/>
  <c r="B1192" i="16"/>
  <c r="Y1192" i="16" s="1"/>
  <c r="B1193" i="16"/>
  <c r="B1194" i="16"/>
  <c r="B1195" i="16"/>
  <c r="B1196" i="16"/>
  <c r="B1197" i="16"/>
  <c r="B1198" i="16"/>
  <c r="B1199" i="16"/>
  <c r="B1200" i="16"/>
  <c r="Y1200" i="16" s="1"/>
  <c r="B1201" i="16"/>
  <c r="B1202" i="16"/>
  <c r="B1203" i="16"/>
  <c r="B1204" i="16"/>
  <c r="Y1204" i="16" s="1"/>
  <c r="B1205" i="16"/>
  <c r="B1206" i="16"/>
  <c r="B1207" i="16"/>
  <c r="B1208" i="16"/>
  <c r="Y1208" i="16" s="1"/>
  <c r="B1209" i="16"/>
  <c r="B1210" i="16"/>
  <c r="B1211" i="16"/>
  <c r="B1212" i="16"/>
  <c r="Y1212" i="16" s="1"/>
  <c r="B1213" i="16"/>
  <c r="B1214" i="16"/>
  <c r="B1215" i="16"/>
  <c r="B1216" i="16"/>
  <c r="Y1216" i="16" s="1"/>
  <c r="B1217" i="16"/>
  <c r="B1218" i="16"/>
  <c r="B1219" i="16"/>
  <c r="Y1219" i="16" s="1"/>
  <c r="B1220" i="16"/>
  <c r="Y1220" i="16" s="1"/>
  <c r="B1221" i="16"/>
  <c r="B1222" i="16"/>
  <c r="B1223" i="16"/>
  <c r="B1224" i="16"/>
  <c r="Y1224" i="16" s="1"/>
  <c r="B1225" i="16"/>
  <c r="B1226" i="16"/>
  <c r="B1227" i="16"/>
  <c r="B1228" i="16"/>
  <c r="Y1228" i="16" s="1"/>
  <c r="B1229" i="16"/>
  <c r="B1230" i="16"/>
  <c r="B1231" i="16"/>
  <c r="B1232" i="16"/>
  <c r="Y1232" i="16" s="1"/>
  <c r="B1233" i="16"/>
  <c r="B1234" i="16"/>
  <c r="B1235" i="16"/>
  <c r="B1236" i="16"/>
  <c r="Y1236" i="16" s="1"/>
  <c r="B1237" i="16"/>
  <c r="B1238" i="16"/>
  <c r="B1239" i="16"/>
  <c r="B1240" i="16"/>
  <c r="Y1240" i="16" s="1"/>
  <c r="B1241" i="16"/>
  <c r="B1242" i="16"/>
  <c r="B1243" i="16"/>
  <c r="B1244" i="16"/>
  <c r="Y1244" i="16" s="1"/>
  <c r="B1245" i="16"/>
  <c r="B1246" i="16"/>
  <c r="B1247" i="16"/>
  <c r="B1248" i="16"/>
  <c r="B1249" i="16"/>
  <c r="B1250" i="16"/>
  <c r="Y1250" i="16" s="1"/>
  <c r="B1251" i="16"/>
  <c r="B1252" i="16"/>
  <c r="Y1252" i="16" s="1"/>
  <c r="B1253" i="16"/>
  <c r="B1254" i="16"/>
  <c r="B1255" i="16"/>
  <c r="B1256" i="16"/>
  <c r="B1257" i="16"/>
  <c r="B1258" i="16"/>
  <c r="B1259" i="16"/>
  <c r="B1260" i="16"/>
  <c r="Y1260" i="16" s="1"/>
  <c r="B1261" i="16"/>
  <c r="B1262" i="16"/>
  <c r="B1263" i="16"/>
  <c r="B1264" i="16"/>
  <c r="Y1264" i="16" s="1"/>
  <c r="B1265" i="16"/>
  <c r="B1266" i="16"/>
  <c r="Y1266" i="16" s="1"/>
  <c r="B1267" i="16"/>
  <c r="Y1267" i="16" s="1"/>
  <c r="B1268" i="16"/>
  <c r="Y1268" i="16" s="1"/>
  <c r="B1269" i="16"/>
  <c r="B1270" i="16"/>
  <c r="B1271" i="16"/>
  <c r="B1272" i="16"/>
  <c r="Y1272" i="16" s="1"/>
  <c r="B1273" i="16"/>
  <c r="B1274" i="16"/>
  <c r="B1275" i="16"/>
  <c r="B1276" i="16"/>
  <c r="Y1276" i="16" s="1"/>
  <c r="B1277" i="16"/>
  <c r="B1278" i="16"/>
  <c r="B1281" i="16"/>
  <c r="B1284" i="16"/>
  <c r="Y1284" i="16" s="1"/>
  <c r="B1285" i="16"/>
  <c r="B1286" i="16"/>
  <c r="Y1288" i="16"/>
  <c r="K63" i="10"/>
  <c r="B21" i="10"/>
  <c r="G21" i="10" s="1"/>
  <c r="H21" i="10" s="1"/>
  <c r="D21" i="10" s="1"/>
  <c r="B16" i="10"/>
  <c r="K544" i="14"/>
  <c r="J544" i="14"/>
  <c r="K543" i="14"/>
  <c r="J543" i="14"/>
  <c r="J475" i="14"/>
  <c r="K475" i="14"/>
  <c r="J474" i="14"/>
  <c r="K474" i="14"/>
  <c r="K305" i="14"/>
  <c r="J305" i="14"/>
  <c r="K304" i="14"/>
  <c r="J304" i="14"/>
  <c r="J239" i="14"/>
  <c r="K239" i="14"/>
  <c r="J238" i="14"/>
  <c r="K238" i="14"/>
  <c r="J6" i="14"/>
  <c r="K6" i="14"/>
  <c r="J9" i="14"/>
  <c r="K9" i="14"/>
  <c r="J10" i="14"/>
  <c r="K10" i="14"/>
  <c r="J11" i="14"/>
  <c r="K11" i="14"/>
  <c r="J12" i="14"/>
  <c r="K12" i="14"/>
  <c r="J14" i="14"/>
  <c r="K14" i="14"/>
  <c r="J17" i="14"/>
  <c r="K17" i="14"/>
  <c r="J13" i="14"/>
  <c r="K13" i="14"/>
  <c r="J18" i="14"/>
  <c r="K18" i="14"/>
  <c r="J19" i="14"/>
  <c r="K19" i="14"/>
  <c r="J86" i="14"/>
  <c r="K86" i="14"/>
  <c r="J89" i="14"/>
  <c r="K89" i="14"/>
  <c r="J20" i="14"/>
  <c r="K20" i="14"/>
  <c r="J87" i="14"/>
  <c r="K87" i="14"/>
  <c r="J88" i="14"/>
  <c r="K88" i="14"/>
  <c r="J21" i="14"/>
  <c r="K21" i="14"/>
  <c r="J22" i="14"/>
  <c r="K22" i="14"/>
  <c r="J23" i="14"/>
  <c r="K23" i="14"/>
  <c r="J24" i="14"/>
  <c r="K24" i="14"/>
  <c r="J25" i="14"/>
  <c r="K25" i="14"/>
  <c r="J26" i="14"/>
  <c r="K26" i="14"/>
  <c r="J137" i="14"/>
  <c r="K137" i="14"/>
  <c r="J27" i="14"/>
  <c r="K27" i="14"/>
  <c r="J28" i="14"/>
  <c r="K28" i="14"/>
  <c r="J36" i="14"/>
  <c r="K36" i="14"/>
  <c r="J29" i="14"/>
  <c r="K29" i="14"/>
  <c r="J30" i="14"/>
  <c r="K30" i="14"/>
  <c r="J31" i="14"/>
  <c r="K31" i="14"/>
  <c r="J105" i="14"/>
  <c r="K105" i="14"/>
  <c r="J32" i="14"/>
  <c r="K32" i="14"/>
  <c r="J33" i="14"/>
  <c r="K33" i="14"/>
  <c r="J221" i="14"/>
  <c r="K221" i="14"/>
  <c r="J34" i="14"/>
  <c r="K34" i="14"/>
  <c r="J35" i="14"/>
  <c r="K35" i="14"/>
  <c r="J38" i="14"/>
  <c r="K38" i="14"/>
  <c r="J41" i="14"/>
  <c r="K41" i="14"/>
  <c r="J42" i="14"/>
  <c r="K42" i="14"/>
  <c r="J43" i="14"/>
  <c r="K43" i="14"/>
  <c r="J44" i="14"/>
  <c r="K44" i="14"/>
  <c r="J46" i="14"/>
  <c r="K46" i="14"/>
  <c r="J47" i="14"/>
  <c r="K47" i="14"/>
  <c r="J49" i="14"/>
  <c r="K49" i="14"/>
  <c r="J50" i="14"/>
  <c r="K50" i="14"/>
  <c r="J51" i="14"/>
  <c r="K51" i="14"/>
  <c r="J52" i="14"/>
  <c r="K52" i="14"/>
  <c r="J45" i="14"/>
  <c r="K45" i="14"/>
  <c r="J48" i="14"/>
  <c r="K48" i="14"/>
  <c r="J53" i="14"/>
  <c r="K53" i="14"/>
  <c r="J54" i="14"/>
  <c r="K54" i="14"/>
  <c r="J55" i="14"/>
  <c r="K55" i="14"/>
  <c r="J139" i="14"/>
  <c r="K139" i="14"/>
  <c r="J144" i="14"/>
  <c r="K144" i="14"/>
  <c r="J56" i="14"/>
  <c r="K56" i="14"/>
  <c r="J57" i="14"/>
  <c r="K57" i="14"/>
  <c r="J58" i="14"/>
  <c r="K58" i="14"/>
  <c r="J60" i="14"/>
  <c r="K60" i="14"/>
  <c r="J61" i="14"/>
  <c r="K61" i="14"/>
  <c r="J63" i="14"/>
  <c r="K63" i="14"/>
  <c r="J64" i="14"/>
  <c r="K64" i="14"/>
  <c r="J202" i="14"/>
  <c r="K202" i="14"/>
  <c r="J65" i="14"/>
  <c r="K65" i="14"/>
  <c r="J66" i="14"/>
  <c r="K66" i="14"/>
  <c r="J67" i="14"/>
  <c r="K67" i="14"/>
  <c r="J68" i="14"/>
  <c r="K68" i="14"/>
  <c r="J224" i="14"/>
  <c r="K224" i="14"/>
  <c r="J69" i="14"/>
  <c r="K69" i="14"/>
  <c r="J70" i="14"/>
  <c r="K70" i="14"/>
  <c r="J74" i="14"/>
  <c r="K74" i="14"/>
  <c r="J75" i="14"/>
  <c r="K75" i="14"/>
  <c r="J76" i="14"/>
  <c r="K76" i="14"/>
  <c r="J77" i="14"/>
  <c r="K77" i="14"/>
  <c r="J78" i="14"/>
  <c r="K78" i="14"/>
  <c r="J79" i="14"/>
  <c r="K79" i="14"/>
  <c r="J80" i="14"/>
  <c r="K80" i="14"/>
  <c r="J81" i="14"/>
  <c r="K81" i="14"/>
  <c r="J82" i="14"/>
  <c r="K82" i="14"/>
  <c r="J83" i="14"/>
  <c r="K83" i="14"/>
  <c r="J84" i="14"/>
  <c r="K84" i="14"/>
  <c r="J85" i="14"/>
  <c r="K85" i="14"/>
  <c r="J90" i="14"/>
  <c r="K90" i="14"/>
  <c r="J91" i="14"/>
  <c r="K91" i="14"/>
  <c r="J92" i="14"/>
  <c r="K92" i="14"/>
  <c r="J146" i="14"/>
  <c r="K146" i="14"/>
  <c r="J162" i="14"/>
  <c r="K162" i="14"/>
  <c r="J192" i="14"/>
  <c r="K192" i="14"/>
  <c r="J93" i="14"/>
  <c r="K93" i="14"/>
  <c r="J94" i="14"/>
  <c r="K94" i="14"/>
  <c r="J95" i="14"/>
  <c r="K95" i="14"/>
  <c r="J96" i="14"/>
  <c r="K96" i="14"/>
  <c r="J97" i="14"/>
  <c r="K97" i="14"/>
  <c r="J100" i="14"/>
  <c r="K100" i="14"/>
  <c r="J98" i="14"/>
  <c r="K98" i="14"/>
  <c r="J99" i="14"/>
  <c r="K99" i="14"/>
  <c r="J101" i="14"/>
  <c r="K101" i="14"/>
  <c r="J102" i="14"/>
  <c r="K102" i="14"/>
  <c r="J103" i="14"/>
  <c r="K103" i="14"/>
  <c r="J104" i="14"/>
  <c r="K104" i="14"/>
  <c r="J107" i="14"/>
  <c r="K107" i="14"/>
  <c r="J108" i="14"/>
  <c r="K108" i="14"/>
  <c r="J109" i="14"/>
  <c r="K109" i="14"/>
  <c r="J110" i="14"/>
  <c r="K110" i="14"/>
  <c r="J155" i="14"/>
  <c r="K155" i="14"/>
  <c r="J111" i="14"/>
  <c r="K111" i="14"/>
  <c r="J112" i="14"/>
  <c r="K112" i="14"/>
  <c r="J113" i="14"/>
  <c r="K113" i="14"/>
  <c r="J114" i="14"/>
  <c r="K114" i="14"/>
  <c r="J220" i="14"/>
  <c r="K220" i="14"/>
  <c r="J115" i="14"/>
  <c r="K115" i="14"/>
  <c r="J119" i="14"/>
  <c r="K119" i="14"/>
  <c r="J120" i="14"/>
  <c r="K120" i="14"/>
  <c r="J121" i="14"/>
  <c r="K121" i="14"/>
  <c r="J118" i="14"/>
  <c r="K118" i="14"/>
  <c r="J122" i="14"/>
  <c r="K122" i="14"/>
  <c r="J123" i="14"/>
  <c r="K123" i="14"/>
  <c r="J117" i="14"/>
  <c r="K117" i="14"/>
  <c r="J124" i="14"/>
  <c r="K124" i="14"/>
  <c r="J125" i="14"/>
  <c r="K125" i="14"/>
  <c r="J126" i="14"/>
  <c r="K126" i="14"/>
  <c r="J127" i="14"/>
  <c r="K127" i="14"/>
  <c r="J128" i="14"/>
  <c r="K128" i="14"/>
  <c r="J129" i="14"/>
  <c r="K129" i="14"/>
  <c r="J191" i="14"/>
  <c r="K191" i="14"/>
  <c r="J130" i="14"/>
  <c r="K130" i="14"/>
  <c r="J131" i="14"/>
  <c r="K131" i="14"/>
  <c r="J132" i="14"/>
  <c r="K132" i="14"/>
  <c r="J133" i="14"/>
  <c r="K133" i="14"/>
  <c r="J134" i="14"/>
  <c r="K134" i="14"/>
  <c r="J135" i="14"/>
  <c r="K135" i="14"/>
  <c r="J136" i="14"/>
  <c r="K136" i="14"/>
  <c r="J138" i="14"/>
  <c r="K138" i="14"/>
  <c r="J140" i="14"/>
  <c r="K140" i="14"/>
  <c r="J141" i="14"/>
  <c r="K141" i="14"/>
  <c r="J142" i="14"/>
  <c r="K142" i="14"/>
  <c r="J143" i="14"/>
  <c r="K143" i="14"/>
  <c r="J145" i="14"/>
  <c r="K145" i="14"/>
  <c r="J151" i="14"/>
  <c r="K151" i="14"/>
  <c r="J147" i="14"/>
  <c r="K147" i="14"/>
  <c r="J150" i="14"/>
  <c r="K150" i="14"/>
  <c r="J152" i="14"/>
  <c r="K152" i="14"/>
  <c r="J153" i="14"/>
  <c r="K153" i="14"/>
  <c r="J154" i="14"/>
  <c r="K154" i="14"/>
  <c r="J156" i="14"/>
  <c r="K156" i="14"/>
  <c r="J157" i="14"/>
  <c r="K157" i="14"/>
  <c r="J158" i="14"/>
  <c r="K158" i="14"/>
  <c r="J159" i="14"/>
  <c r="K159" i="14"/>
  <c r="J160" i="14"/>
  <c r="K160" i="14"/>
  <c r="J161" i="14"/>
  <c r="K161" i="14"/>
  <c r="J163" i="14"/>
  <c r="K163" i="14"/>
  <c r="J164" i="14"/>
  <c r="K164" i="14"/>
  <c r="J165" i="14"/>
  <c r="K165" i="14"/>
  <c r="J169" i="14"/>
  <c r="K169" i="14"/>
  <c r="J166" i="14"/>
  <c r="K166" i="14"/>
  <c r="J167" i="14"/>
  <c r="K167" i="14"/>
  <c r="J168" i="14"/>
  <c r="K168" i="14"/>
  <c r="J170" i="14"/>
  <c r="K170" i="14"/>
  <c r="J171" i="14"/>
  <c r="K171" i="14"/>
  <c r="J173" i="14"/>
  <c r="K173" i="14"/>
  <c r="J174" i="14"/>
  <c r="K174" i="14"/>
  <c r="J175" i="14"/>
  <c r="K175" i="14"/>
  <c r="J227" i="14"/>
  <c r="K227" i="14"/>
  <c r="J228" i="14"/>
  <c r="K228" i="14"/>
  <c r="J229" i="14"/>
  <c r="K229" i="14"/>
  <c r="J230" i="14"/>
  <c r="K230" i="14"/>
  <c r="J231" i="14"/>
  <c r="K231" i="14"/>
  <c r="J232" i="14"/>
  <c r="K232" i="14"/>
  <c r="J178" i="14"/>
  <c r="K178" i="14"/>
  <c r="J180" i="14"/>
  <c r="K180" i="14"/>
  <c r="J5" i="14"/>
  <c r="K5" i="14"/>
  <c r="J182" i="14"/>
  <c r="K182" i="14"/>
  <c r="J183" i="14"/>
  <c r="K183" i="14"/>
  <c r="J184" i="14"/>
  <c r="K184" i="14"/>
  <c r="J185" i="14"/>
  <c r="K185" i="14"/>
  <c r="J186" i="14"/>
  <c r="K186" i="14"/>
  <c r="J187" i="14"/>
  <c r="K187" i="14"/>
  <c r="J116" i="14"/>
  <c r="K116" i="14"/>
  <c r="J181" i="14"/>
  <c r="K181" i="14"/>
  <c r="J188" i="14"/>
  <c r="K188" i="14"/>
  <c r="J189" i="14"/>
  <c r="K189" i="14"/>
  <c r="J211" i="14"/>
  <c r="K211" i="14"/>
  <c r="J190" i="14"/>
  <c r="K190" i="14"/>
  <c r="J177" i="14"/>
  <c r="K177" i="14"/>
  <c r="J179" i="14"/>
  <c r="K179" i="14"/>
  <c r="J193" i="14"/>
  <c r="K193" i="14"/>
  <c r="J194" i="14"/>
  <c r="K194" i="14"/>
  <c r="J197" i="14"/>
  <c r="K197" i="14"/>
  <c r="J196" i="14"/>
  <c r="K196" i="14"/>
  <c r="J198" i="14"/>
  <c r="K198" i="14"/>
  <c r="J199" i="14"/>
  <c r="K199" i="14"/>
  <c r="J200" i="14"/>
  <c r="K200" i="14"/>
  <c r="J201" i="14"/>
  <c r="K201" i="14"/>
  <c r="J40" i="14"/>
  <c r="K40" i="14"/>
  <c r="J62" i="14"/>
  <c r="K62" i="14"/>
  <c r="J106" i="14"/>
  <c r="K106" i="14"/>
  <c r="J172" i="14"/>
  <c r="K172" i="14"/>
  <c r="J176" i="14"/>
  <c r="K176" i="14"/>
  <c r="J204" i="14"/>
  <c r="K204" i="14"/>
  <c r="J205" i="14"/>
  <c r="K205" i="14"/>
  <c r="J15" i="14"/>
  <c r="K15" i="14"/>
  <c r="J206" i="14"/>
  <c r="K206" i="14"/>
  <c r="J207" i="14"/>
  <c r="K207" i="14"/>
  <c r="J208" i="14"/>
  <c r="K208" i="14"/>
  <c r="J209" i="14"/>
  <c r="K209" i="14"/>
  <c r="J210" i="14"/>
  <c r="K210" i="14"/>
  <c r="J212" i="14"/>
  <c r="K212" i="14"/>
  <c r="J213" i="14"/>
  <c r="K213" i="14"/>
  <c r="J214" i="14"/>
  <c r="K214" i="14"/>
  <c r="J215" i="14"/>
  <c r="K215" i="14"/>
  <c r="J216" i="14"/>
  <c r="K216" i="14"/>
  <c r="J217" i="14"/>
  <c r="K217" i="14"/>
  <c r="J7" i="14"/>
  <c r="K7" i="14"/>
  <c r="J8" i="14"/>
  <c r="K8" i="14"/>
  <c r="J16" i="14"/>
  <c r="K16" i="14"/>
  <c r="J148" i="14"/>
  <c r="K148" i="14"/>
  <c r="J149" i="14"/>
  <c r="K149" i="14"/>
  <c r="J203" i="14"/>
  <c r="K203" i="14"/>
  <c r="J218" i="14"/>
  <c r="K218" i="14"/>
  <c r="J219" i="14"/>
  <c r="K219" i="14"/>
  <c r="J222" i="14"/>
  <c r="K222" i="14"/>
  <c r="J223" i="14"/>
  <c r="K223" i="14"/>
  <c r="J225" i="14"/>
  <c r="K225" i="14"/>
  <c r="J37" i="14"/>
  <c r="K37" i="14"/>
  <c r="J226" i="14"/>
  <c r="K226" i="14"/>
  <c r="J39" i="14"/>
  <c r="K39" i="14"/>
  <c r="J71" i="14"/>
  <c r="K71" i="14"/>
  <c r="J72" i="14"/>
  <c r="K72" i="14"/>
  <c r="J73" i="14"/>
  <c r="K73" i="14"/>
  <c r="J233" i="14"/>
  <c r="K233" i="14"/>
  <c r="J234" i="14"/>
  <c r="K234" i="14"/>
  <c r="J59" i="14"/>
  <c r="K59" i="14"/>
  <c r="J235" i="14"/>
  <c r="K235" i="14"/>
  <c r="J236" i="14"/>
  <c r="K236" i="14"/>
  <c r="J237" i="14"/>
  <c r="K237" i="14"/>
  <c r="J240" i="14"/>
  <c r="K240" i="14"/>
  <c r="J241" i="14"/>
  <c r="K241" i="14"/>
  <c r="J242" i="14"/>
  <c r="K242" i="14"/>
  <c r="J245" i="14"/>
  <c r="K245" i="14"/>
  <c r="J246" i="14"/>
  <c r="K246" i="14"/>
  <c r="J247" i="14"/>
  <c r="K247" i="14"/>
  <c r="J300" i="14"/>
  <c r="K300" i="14"/>
  <c r="J248" i="14"/>
  <c r="K248" i="14"/>
  <c r="J249" i="14"/>
  <c r="K249" i="14"/>
  <c r="J250" i="14"/>
  <c r="K250" i="14"/>
  <c r="J251" i="14"/>
  <c r="K251" i="14"/>
  <c r="J252" i="14"/>
  <c r="K252" i="14"/>
  <c r="J253" i="14"/>
  <c r="K253" i="14"/>
  <c r="J254" i="14"/>
  <c r="K254" i="14"/>
  <c r="J255" i="14"/>
  <c r="K255" i="14"/>
  <c r="J256" i="14"/>
  <c r="K256" i="14"/>
  <c r="J257" i="14"/>
  <c r="K257" i="14"/>
  <c r="J258" i="14"/>
  <c r="K258" i="14"/>
  <c r="J259" i="14"/>
  <c r="K259" i="14"/>
  <c r="J260" i="14"/>
  <c r="K260" i="14"/>
  <c r="J261" i="14"/>
  <c r="K261" i="14"/>
  <c r="J262" i="14"/>
  <c r="K262" i="14"/>
  <c r="J263" i="14"/>
  <c r="K263" i="14"/>
  <c r="J264" i="14"/>
  <c r="K264" i="14"/>
  <c r="J265" i="14"/>
  <c r="K265" i="14"/>
  <c r="J266" i="14"/>
  <c r="K266" i="14"/>
  <c r="J267" i="14"/>
  <c r="K267" i="14"/>
  <c r="J268" i="14"/>
  <c r="K268" i="14"/>
  <c r="J269" i="14"/>
  <c r="K269" i="14"/>
  <c r="J270" i="14"/>
  <c r="K270" i="14"/>
  <c r="J271" i="14"/>
  <c r="K271" i="14"/>
  <c r="J272" i="14"/>
  <c r="K272" i="14"/>
  <c r="J273" i="14"/>
  <c r="K273" i="14"/>
  <c r="J274" i="14"/>
  <c r="K274" i="14"/>
  <c r="J275" i="14"/>
  <c r="K275" i="14"/>
  <c r="J276" i="14"/>
  <c r="K276" i="14"/>
  <c r="J277" i="14"/>
  <c r="K277" i="14"/>
  <c r="J278" i="14"/>
  <c r="K278" i="14"/>
  <c r="J279" i="14"/>
  <c r="K279" i="14"/>
  <c r="J280" i="14"/>
  <c r="K280" i="14"/>
  <c r="J282" i="14"/>
  <c r="K282" i="14"/>
  <c r="J283" i="14"/>
  <c r="K283" i="14"/>
  <c r="J284" i="14"/>
  <c r="K284" i="14"/>
  <c r="J285" i="14"/>
  <c r="K285" i="14"/>
  <c r="J286" i="14"/>
  <c r="K286" i="14"/>
  <c r="J287" i="14"/>
  <c r="K287" i="14"/>
  <c r="J288" i="14"/>
  <c r="K288" i="14"/>
  <c r="J289" i="14"/>
  <c r="K289" i="14"/>
  <c r="J290" i="14"/>
  <c r="K290" i="14"/>
  <c r="J291" i="14"/>
  <c r="K291" i="14"/>
  <c r="J292" i="14"/>
  <c r="K292" i="14"/>
  <c r="J293" i="14"/>
  <c r="K293" i="14"/>
  <c r="J294" i="14"/>
  <c r="K294" i="14"/>
  <c r="J295" i="14"/>
  <c r="K295" i="14"/>
  <c r="J296" i="14"/>
  <c r="K296" i="14"/>
  <c r="J297" i="14"/>
  <c r="K297" i="14"/>
  <c r="J298" i="14"/>
  <c r="K298" i="14"/>
  <c r="J299" i="14"/>
  <c r="K299" i="14"/>
  <c r="J301" i="14"/>
  <c r="K301" i="14"/>
  <c r="J302" i="14"/>
  <c r="K302" i="14"/>
  <c r="J303" i="14"/>
  <c r="K303" i="14"/>
  <c r="J306" i="14"/>
  <c r="K306" i="14"/>
  <c r="J307" i="14"/>
  <c r="K307" i="14"/>
  <c r="J310" i="14"/>
  <c r="K310" i="14"/>
  <c r="J311" i="14"/>
  <c r="K311" i="14"/>
  <c r="J312" i="14"/>
  <c r="K312" i="14"/>
  <c r="J327" i="14"/>
  <c r="K327" i="14"/>
  <c r="J328" i="14"/>
  <c r="K328" i="14"/>
  <c r="J329" i="14"/>
  <c r="K329" i="14"/>
  <c r="J313" i="14"/>
  <c r="K313" i="14"/>
  <c r="J314" i="14"/>
  <c r="K314" i="14"/>
  <c r="J319" i="14"/>
  <c r="K319" i="14"/>
  <c r="J320" i="14"/>
  <c r="K320" i="14"/>
  <c r="J322" i="14"/>
  <c r="K322" i="14"/>
  <c r="J323" i="14"/>
  <c r="K323" i="14"/>
  <c r="J324" i="14"/>
  <c r="K324" i="14"/>
  <c r="J362" i="14"/>
  <c r="K362" i="14"/>
  <c r="J363" i="14"/>
  <c r="K363" i="14"/>
  <c r="J364" i="14"/>
  <c r="K364" i="14"/>
  <c r="J380" i="14"/>
  <c r="K380" i="14"/>
  <c r="J385" i="14"/>
  <c r="K385" i="14"/>
  <c r="J459" i="14"/>
  <c r="K459" i="14"/>
  <c r="J326" i="14"/>
  <c r="K326" i="14"/>
  <c r="J365" i="14"/>
  <c r="K365" i="14"/>
  <c r="J400" i="14"/>
  <c r="K400" i="14"/>
  <c r="J330" i="14"/>
  <c r="K330" i="14"/>
  <c r="J331" i="14"/>
  <c r="K331" i="14"/>
  <c r="J332" i="14"/>
  <c r="K332" i="14"/>
  <c r="J333" i="14"/>
  <c r="K333" i="14"/>
  <c r="J334" i="14"/>
  <c r="K334" i="14"/>
  <c r="J335" i="14"/>
  <c r="K335" i="14"/>
  <c r="J338" i="14"/>
  <c r="K338" i="14"/>
  <c r="J339" i="14"/>
  <c r="K339" i="14"/>
  <c r="J340" i="14"/>
  <c r="K340" i="14"/>
  <c r="J341" i="14"/>
  <c r="K341" i="14"/>
  <c r="J342" i="14"/>
  <c r="K342" i="14"/>
  <c r="J343" i="14"/>
  <c r="K343" i="14"/>
  <c r="J344" i="14"/>
  <c r="K344" i="14"/>
  <c r="J345" i="14"/>
  <c r="K345" i="14"/>
  <c r="J346" i="14"/>
  <c r="K346" i="14"/>
  <c r="J347" i="14"/>
  <c r="K347" i="14"/>
  <c r="J348" i="14"/>
  <c r="K348" i="14"/>
  <c r="J349" i="14"/>
  <c r="K349" i="14"/>
  <c r="J350" i="14"/>
  <c r="K350" i="14"/>
  <c r="J351" i="14"/>
  <c r="K351" i="14"/>
  <c r="J352" i="14"/>
  <c r="K352" i="14"/>
  <c r="J355" i="14"/>
  <c r="K355" i="14"/>
  <c r="J356" i="14"/>
  <c r="K356" i="14"/>
  <c r="J357" i="14"/>
  <c r="K357" i="14"/>
  <c r="J375" i="14"/>
  <c r="K375" i="14"/>
  <c r="J376" i="14"/>
  <c r="K376" i="14"/>
  <c r="J358" i="14"/>
  <c r="K358" i="14"/>
  <c r="J359" i="14"/>
  <c r="K359" i="14"/>
  <c r="J451" i="14"/>
  <c r="K451" i="14"/>
  <c r="J461" i="14"/>
  <c r="K461" i="14"/>
  <c r="J468" i="14"/>
  <c r="K468" i="14"/>
  <c r="J473" i="14"/>
  <c r="K473" i="14"/>
  <c r="J360" i="14"/>
  <c r="K360" i="14"/>
  <c r="J361" i="14"/>
  <c r="K361" i="14"/>
  <c r="J467" i="14"/>
  <c r="K467" i="14"/>
  <c r="J366" i="14"/>
  <c r="K366" i="14"/>
  <c r="J367" i="14"/>
  <c r="K367" i="14"/>
  <c r="J368" i="14"/>
  <c r="K368" i="14"/>
  <c r="J369" i="14"/>
  <c r="K369" i="14"/>
  <c r="J374" i="14"/>
  <c r="K374" i="14"/>
  <c r="J445" i="14"/>
  <c r="K445" i="14"/>
  <c r="J321" i="14"/>
  <c r="K321" i="14"/>
  <c r="J372" i="14"/>
  <c r="K372" i="14"/>
  <c r="J378" i="14"/>
  <c r="K378" i="14"/>
  <c r="J379" i="14"/>
  <c r="K379" i="14"/>
  <c r="J381" i="14"/>
  <c r="K381" i="14"/>
  <c r="J382" i="14"/>
  <c r="K382" i="14"/>
  <c r="J392" i="14"/>
  <c r="K392" i="14"/>
  <c r="J383" i="14"/>
  <c r="K383" i="14"/>
  <c r="J386" i="14"/>
  <c r="K386" i="14"/>
  <c r="J387" i="14"/>
  <c r="K387" i="14"/>
  <c r="J388" i="14"/>
  <c r="K388" i="14"/>
  <c r="J453" i="14"/>
  <c r="K453" i="14"/>
  <c r="J353" i="14"/>
  <c r="K353" i="14"/>
  <c r="J389" i="14"/>
  <c r="K389" i="14"/>
  <c r="J390" i="14"/>
  <c r="K390" i="14"/>
  <c r="J391" i="14"/>
  <c r="K391" i="14"/>
  <c r="J373" i="14"/>
  <c r="K373" i="14"/>
  <c r="J393" i="14"/>
  <c r="K393" i="14"/>
  <c r="J394" i="14"/>
  <c r="K394" i="14"/>
  <c r="J395" i="14"/>
  <c r="K395" i="14"/>
  <c r="J396" i="14"/>
  <c r="K396" i="14"/>
  <c r="J397" i="14"/>
  <c r="K397" i="14"/>
  <c r="J398" i="14"/>
  <c r="K398" i="14"/>
  <c r="J399" i="14"/>
  <c r="K399" i="14"/>
  <c r="J401" i="14"/>
  <c r="K401" i="14"/>
  <c r="J402" i="14"/>
  <c r="K402" i="14"/>
  <c r="J337" i="14"/>
  <c r="K337" i="14"/>
  <c r="J403" i="14"/>
  <c r="K403" i="14"/>
  <c r="J404" i="14"/>
  <c r="K404" i="14"/>
  <c r="J405" i="14"/>
  <c r="K405" i="14"/>
  <c r="J406" i="14"/>
  <c r="K406" i="14"/>
  <c r="J407" i="14"/>
  <c r="K407" i="14"/>
  <c r="J408" i="14"/>
  <c r="K408" i="14"/>
  <c r="J409" i="14"/>
  <c r="K409" i="14"/>
  <c r="J410" i="14"/>
  <c r="K410" i="14"/>
  <c r="J411" i="14"/>
  <c r="K411" i="14"/>
  <c r="J315" i="14"/>
  <c r="K315" i="14"/>
  <c r="J412" i="14"/>
  <c r="K412" i="14"/>
  <c r="J316" i="14"/>
  <c r="K316" i="14"/>
  <c r="J371" i="14"/>
  <c r="K371" i="14"/>
  <c r="J413" i="14"/>
  <c r="K413" i="14"/>
  <c r="J418" i="14"/>
  <c r="K418" i="14"/>
  <c r="J419" i="14"/>
  <c r="K419" i="14"/>
  <c r="J414" i="14"/>
  <c r="K414" i="14"/>
  <c r="J415" i="14"/>
  <c r="K415" i="14"/>
  <c r="J416" i="14"/>
  <c r="K416" i="14"/>
  <c r="J417" i="14"/>
  <c r="K417" i="14"/>
  <c r="J420" i="14"/>
  <c r="K420" i="14"/>
  <c r="J336" i="14"/>
  <c r="K336" i="14"/>
  <c r="J421" i="14"/>
  <c r="K421" i="14"/>
  <c r="J422" i="14"/>
  <c r="K422" i="14"/>
  <c r="J423" i="14"/>
  <c r="K423" i="14"/>
  <c r="J424" i="14"/>
  <c r="K424" i="14"/>
  <c r="J425" i="14"/>
  <c r="K425" i="14"/>
  <c r="J426" i="14"/>
  <c r="K426" i="14"/>
  <c r="J427" i="14"/>
  <c r="K427" i="14"/>
  <c r="J438" i="14"/>
  <c r="K438" i="14"/>
  <c r="J428" i="14"/>
  <c r="K428" i="14"/>
  <c r="J317" i="14"/>
  <c r="K317" i="14"/>
  <c r="J429" i="14"/>
  <c r="K429" i="14"/>
  <c r="J430" i="14"/>
  <c r="K430" i="14"/>
  <c r="J431" i="14"/>
  <c r="K431" i="14"/>
  <c r="J432" i="14"/>
  <c r="K432" i="14"/>
  <c r="J433" i="14"/>
  <c r="K433" i="14"/>
  <c r="J434" i="14"/>
  <c r="K434" i="14"/>
  <c r="J377" i="14"/>
  <c r="K377" i="14"/>
  <c r="J435" i="14"/>
  <c r="K435" i="14"/>
  <c r="J436" i="14"/>
  <c r="K436" i="14"/>
  <c r="J455" i="14"/>
  <c r="K455" i="14"/>
  <c r="J370" i="14"/>
  <c r="K370" i="14"/>
  <c r="J384" i="14"/>
  <c r="K384" i="14"/>
  <c r="J437" i="14"/>
  <c r="K437" i="14"/>
  <c r="J439" i="14"/>
  <c r="K439" i="14"/>
  <c r="J440" i="14"/>
  <c r="K440" i="14"/>
  <c r="J441" i="14"/>
  <c r="K441" i="14"/>
  <c r="J442" i="14"/>
  <c r="K442" i="14"/>
  <c r="J443" i="14"/>
  <c r="K443" i="14"/>
  <c r="J444" i="14"/>
  <c r="K444" i="14"/>
  <c r="J447" i="14"/>
  <c r="K447" i="14"/>
  <c r="J448" i="14"/>
  <c r="K448" i="14"/>
  <c r="J449" i="14"/>
  <c r="K449" i="14"/>
  <c r="J450" i="14"/>
  <c r="K450" i="14"/>
  <c r="J454" i="14"/>
  <c r="K454" i="14"/>
  <c r="J456" i="14"/>
  <c r="K456" i="14"/>
  <c r="J457" i="14"/>
  <c r="K457" i="14"/>
  <c r="J458" i="14"/>
  <c r="K458" i="14"/>
  <c r="J318" i="14"/>
  <c r="K318" i="14"/>
  <c r="J354" i="14"/>
  <c r="K354" i="14"/>
  <c r="J462" i="14"/>
  <c r="K462" i="14"/>
  <c r="J463" i="14"/>
  <c r="K463" i="14"/>
  <c r="J466" i="14"/>
  <c r="K466" i="14"/>
  <c r="J471" i="14"/>
  <c r="K471" i="14"/>
  <c r="J325" i="14"/>
  <c r="K325" i="14"/>
  <c r="J446" i="14"/>
  <c r="K446" i="14"/>
  <c r="J452" i="14"/>
  <c r="K452" i="14"/>
  <c r="J460" i="14"/>
  <c r="K460" i="14"/>
  <c r="J469" i="14"/>
  <c r="K469" i="14"/>
  <c r="J470" i="14"/>
  <c r="K470" i="14"/>
  <c r="J472" i="14"/>
  <c r="K472" i="14"/>
  <c r="J476" i="14"/>
  <c r="K476" i="14"/>
  <c r="J478" i="14"/>
  <c r="K478" i="14"/>
  <c r="J479" i="14"/>
  <c r="K479" i="14"/>
  <c r="J480" i="14"/>
  <c r="K480" i="14"/>
  <c r="J477" i="14"/>
  <c r="K477" i="14"/>
  <c r="J481" i="14"/>
  <c r="K481" i="14"/>
  <c r="J485" i="14"/>
  <c r="K485" i="14"/>
  <c r="J487" i="14"/>
  <c r="K487" i="14"/>
  <c r="J542" i="14"/>
  <c r="K542" i="14"/>
  <c r="J488" i="14"/>
  <c r="K488" i="14"/>
  <c r="J489" i="14"/>
  <c r="K489" i="14"/>
  <c r="J490" i="14"/>
  <c r="K490" i="14"/>
  <c r="J491" i="14"/>
  <c r="K491" i="14"/>
  <c r="J486" i="14"/>
  <c r="K486" i="14"/>
  <c r="J492" i="14"/>
  <c r="K492" i="14"/>
  <c r="J515" i="14"/>
  <c r="K515" i="14"/>
  <c r="J516" i="14"/>
  <c r="K516" i="14"/>
  <c r="J493" i="14"/>
  <c r="K493" i="14"/>
  <c r="J494" i="14"/>
  <c r="K494" i="14"/>
  <c r="J495" i="14"/>
  <c r="K495" i="14"/>
  <c r="J496" i="14"/>
  <c r="K496" i="14"/>
  <c r="J497" i="14"/>
  <c r="K497" i="14"/>
  <c r="J498" i="14"/>
  <c r="K498" i="14"/>
  <c r="J484" i="14"/>
  <c r="K484" i="14"/>
  <c r="J499" i="14"/>
  <c r="K499" i="14"/>
  <c r="J500" i="14"/>
  <c r="K500" i="14"/>
  <c r="J501" i="14"/>
  <c r="K501" i="14"/>
  <c r="J503" i="14"/>
  <c r="K503" i="14"/>
  <c r="J504" i="14"/>
  <c r="K504" i="14"/>
  <c r="J505" i="14"/>
  <c r="K505" i="14"/>
  <c r="J506" i="14"/>
  <c r="K506" i="14"/>
  <c r="J502" i="14"/>
  <c r="K502" i="14"/>
  <c r="J507" i="14"/>
  <c r="K507" i="14"/>
  <c r="J508" i="14"/>
  <c r="K508" i="14"/>
  <c r="J509" i="14"/>
  <c r="K509" i="14"/>
  <c r="J510" i="14"/>
  <c r="K510" i="14"/>
  <c r="J511" i="14"/>
  <c r="K511" i="14"/>
  <c r="J512" i="14"/>
  <c r="K512" i="14"/>
  <c r="J513" i="14"/>
  <c r="K513" i="14"/>
  <c r="J514" i="14"/>
  <c r="K514" i="14"/>
  <c r="J517" i="14"/>
  <c r="K517" i="14"/>
  <c r="J518" i="14"/>
  <c r="K518" i="14"/>
  <c r="J519" i="14"/>
  <c r="K519" i="14"/>
  <c r="J520" i="14"/>
  <c r="K520" i="14"/>
  <c r="J482" i="14"/>
  <c r="K482" i="14"/>
  <c r="J483" i="14"/>
  <c r="K483" i="14"/>
  <c r="J521" i="14"/>
  <c r="K521" i="14"/>
  <c r="J522" i="14"/>
  <c r="K522" i="14"/>
  <c r="J523" i="14"/>
  <c r="K523" i="14"/>
  <c r="J524" i="14"/>
  <c r="K524" i="14"/>
  <c r="J525" i="14"/>
  <c r="K525" i="14"/>
  <c r="J526" i="14"/>
  <c r="K526" i="14"/>
  <c r="J527" i="14"/>
  <c r="K527" i="14"/>
  <c r="J528" i="14"/>
  <c r="K528" i="14"/>
  <c r="J530" i="14"/>
  <c r="K530" i="14"/>
  <c r="J531" i="14"/>
  <c r="K531" i="14"/>
  <c r="J532" i="14"/>
  <c r="K532" i="14"/>
  <c r="J533" i="14"/>
  <c r="K533" i="14"/>
  <c r="J534" i="14"/>
  <c r="K534" i="14"/>
  <c r="D11" i="4"/>
  <c r="B4" i="10"/>
  <c r="G4" i="10" s="1"/>
  <c r="H4" i="10" s="1"/>
  <c r="B5" i="10"/>
  <c r="B15" i="10"/>
  <c r="B17" i="10"/>
  <c r="G17" i="10" s="1"/>
  <c r="H17" i="10" s="1"/>
  <c r="B18" i="10"/>
  <c r="K62" i="10"/>
  <c r="K64" i="10"/>
  <c r="K65" i="10"/>
  <c r="B51" i="10"/>
  <c r="G51" i="10" s="1"/>
  <c r="B52" i="10"/>
  <c r="G52" i="10" s="1"/>
  <c r="B6" i="10"/>
  <c r="G6" i="10" s="1"/>
  <c r="B20" i="10"/>
  <c r="F25" i="10" s="1"/>
  <c r="G20" i="10"/>
  <c r="H20" i="10" s="1"/>
  <c r="D20" i="10" s="1"/>
  <c r="B22" i="10"/>
  <c r="B23" i="10"/>
  <c r="G23" i="10"/>
  <c r="H23" i="10" s="1"/>
  <c r="B28" i="10"/>
  <c r="G28" i="10" s="1"/>
  <c r="B9" i="10"/>
  <c r="G9" i="10" s="1"/>
  <c r="H9" i="10" s="1"/>
  <c r="B8" i="10"/>
  <c r="G8" i="10" s="1"/>
  <c r="H8" i="10" s="1"/>
  <c r="D8" i="10" s="1"/>
  <c r="B7" i="10"/>
  <c r="G7" i="10" s="1"/>
  <c r="H7" i="10" s="1"/>
  <c r="D7" i="10" s="1"/>
  <c r="B13" i="10"/>
  <c r="G13" i="10" s="1"/>
  <c r="H13" i="10" s="1"/>
  <c r="D13" i="10" s="1"/>
  <c r="P39" i="4"/>
  <c r="P40" i="4"/>
  <c r="P41" i="4"/>
  <c r="P38" i="4"/>
  <c r="B12" i="10"/>
  <c r="G12" i="10" s="1"/>
  <c r="H12" i="10" s="1"/>
  <c r="D12" i="10" s="1"/>
  <c r="G61" i="10"/>
  <c r="B61" i="10"/>
  <c r="B31" i="10"/>
  <c r="G31" i="10" s="1"/>
  <c r="B32" i="10"/>
  <c r="G32" i="10" s="1"/>
  <c r="B33" i="10"/>
  <c r="G33" i="10"/>
  <c r="B30" i="10"/>
  <c r="G30" i="10" s="1"/>
  <c r="B11" i="10"/>
  <c r="G11" i="10" s="1"/>
  <c r="H11" i="10" s="1"/>
  <c r="B10" i="10"/>
  <c r="G10" i="10" s="1"/>
  <c r="H10" i="10" s="1"/>
  <c r="D10" i="10" s="1"/>
  <c r="A5" i="4"/>
  <c r="B60" i="10"/>
  <c r="G60" i="10" s="1"/>
  <c r="B59" i="10"/>
  <c r="G59" i="10" s="1"/>
  <c r="B58" i="10"/>
  <c r="G58" i="10" s="1"/>
  <c r="B57" i="10"/>
  <c r="G57" i="10" s="1"/>
  <c r="B56" i="10"/>
  <c r="G56" i="10" s="1"/>
  <c r="B55" i="10"/>
  <c r="G55" i="10" s="1"/>
  <c r="B54" i="10"/>
  <c r="G54" i="10" s="1"/>
  <c r="B53" i="10"/>
  <c r="G53" i="10" s="1"/>
  <c r="B50" i="10"/>
  <c r="G50" i="10" s="1"/>
  <c r="B48" i="10"/>
  <c r="G48" i="10" s="1"/>
  <c r="B47" i="10"/>
  <c r="G47" i="10"/>
  <c r="B46" i="10"/>
  <c r="G46" i="10" s="1"/>
  <c r="B45" i="10"/>
  <c r="G45" i="10" s="1"/>
  <c r="B43" i="10"/>
  <c r="G43" i="10"/>
  <c r="B42" i="10"/>
  <c r="G42" i="10" s="1"/>
  <c r="B41" i="10"/>
  <c r="G41" i="10" s="1"/>
  <c r="B40" i="10"/>
  <c r="G40" i="10" s="1"/>
  <c r="B38" i="10"/>
  <c r="G38" i="10" s="1"/>
  <c r="B37" i="10"/>
  <c r="G37" i="10"/>
  <c r="B36" i="10"/>
  <c r="G36" i="10" s="1"/>
  <c r="B35" i="10"/>
  <c r="G35" i="10" s="1"/>
  <c r="B27" i="10"/>
  <c r="G27" i="10"/>
  <c r="B26" i="10"/>
  <c r="G26" i="10" s="1"/>
  <c r="B25" i="10"/>
  <c r="G25" i="10" s="1"/>
  <c r="H25" i="10" s="1"/>
  <c r="H14" i="10"/>
  <c r="H61" i="4"/>
  <c r="G15" i="10"/>
  <c r="H15" i="10" s="1"/>
  <c r="D15" i="10" s="1"/>
  <c r="B1279" i="16"/>
  <c r="C1279" i="16"/>
  <c r="D17" i="10"/>
  <c r="B31" i="3"/>
  <c r="Y1005" i="16"/>
  <c r="S1275" i="16"/>
  <c r="I1275" i="16" s="1"/>
  <c r="S595" i="16"/>
  <c r="D595" i="16" s="1"/>
  <c r="S583" i="16"/>
  <c r="S394" i="16"/>
  <c r="S921" i="16"/>
  <c r="E921" i="16" s="1"/>
  <c r="S1274" i="16"/>
  <c r="S425" i="16"/>
  <c r="H425" i="16" s="1"/>
  <c r="S993" i="16"/>
  <c r="F993" i="16" s="1"/>
  <c r="S1236" i="16"/>
  <c r="S1192" i="16"/>
  <c r="S1112" i="16"/>
  <c r="J1112" i="16" s="1"/>
  <c r="S312" i="16"/>
  <c r="F312" i="16" s="1"/>
  <c r="S1113" i="16"/>
  <c r="S801" i="16"/>
  <c r="H801" i="16" s="1"/>
  <c r="S1109" i="16"/>
  <c r="H1109" i="16" s="1"/>
  <c r="S601" i="16"/>
  <c r="S1286" i="16"/>
  <c r="H1286" i="16" s="1"/>
  <c r="S977" i="16"/>
  <c r="S897" i="16"/>
  <c r="S1260" i="16"/>
  <c r="J1260" i="16" s="1"/>
  <c r="S627" i="16"/>
  <c r="S1186" i="16"/>
  <c r="H1186" i="16" s="1"/>
  <c r="S634" i="16"/>
  <c r="F634" i="16" s="1"/>
  <c r="S1025" i="16"/>
  <c r="H1025" i="16" s="1"/>
  <c r="S546" i="16"/>
  <c r="S538" i="16"/>
  <c r="I538" i="16" s="1"/>
  <c r="S491" i="16"/>
  <c r="D491" i="16" s="1"/>
  <c r="S464" i="16"/>
  <c r="S408" i="16"/>
  <c r="G408" i="16" s="1"/>
  <c r="S522" i="16"/>
  <c r="J522" i="16" s="1"/>
  <c r="S626" i="16"/>
  <c r="H626" i="16" s="1"/>
  <c r="S618" i="16"/>
  <c r="S586" i="16"/>
  <c r="J586" i="16" s="1"/>
  <c r="Y586" i="16"/>
  <c r="S480" i="16"/>
  <c r="D480" i="16" s="1"/>
  <c r="S460" i="16"/>
  <c r="I460" i="16" s="1"/>
  <c r="S456" i="16"/>
  <c r="J456" i="16" s="1"/>
  <c r="S448" i="16"/>
  <c r="J448" i="16" s="1"/>
  <c r="S1227" i="16"/>
  <c r="J1227" i="16" s="1"/>
  <c r="S1088" i="16"/>
  <c r="S1080" i="16"/>
  <c r="S657" i="16"/>
  <c r="S593" i="16"/>
  <c r="S521" i="16"/>
  <c r="S467" i="16"/>
  <c r="D467" i="16" s="1"/>
  <c r="S1204" i="16"/>
  <c r="I1204" i="16" s="1"/>
  <c r="S1208" i="16"/>
  <c r="F1208" i="16" s="1"/>
  <c r="S1172" i="16"/>
  <c r="D1172" i="16" s="1"/>
  <c r="S1128" i="16"/>
  <c r="S1052" i="16"/>
  <c r="S1036" i="16"/>
  <c r="S912" i="16"/>
  <c r="J912" i="16" s="1"/>
  <c r="S625" i="16"/>
  <c r="E625" i="16" s="1"/>
  <c r="S996" i="16"/>
  <c r="S313" i="16"/>
  <c r="E313" i="16" s="1"/>
  <c r="S984" i="16"/>
  <c r="S1163" i="16"/>
  <c r="D1163" i="16" s="1"/>
  <c r="Y1019" i="16"/>
  <c r="S831" i="16"/>
  <c r="S775" i="16"/>
  <c r="D775" i="16" s="1"/>
  <c r="S1256" i="16"/>
  <c r="J1256" i="16" s="1"/>
  <c r="S810" i="16"/>
  <c r="G810" i="16" s="1"/>
  <c r="S704" i="16"/>
  <c r="E704" i="16" s="1"/>
  <c r="S680" i="16"/>
  <c r="S569" i="16"/>
  <c r="S537" i="16"/>
  <c r="G537" i="16" s="1"/>
  <c r="S529" i="16"/>
  <c r="S513" i="16"/>
  <c r="S463" i="16"/>
  <c r="H463" i="16" s="1"/>
  <c r="S459" i="16"/>
  <c r="J459" i="16" s="1"/>
  <c r="S360" i="16"/>
  <c r="J360" i="16" s="1"/>
  <c r="S1205" i="16"/>
  <c r="I1205" i="16" s="1"/>
  <c r="S1121" i="16"/>
  <c r="Y1121" i="16"/>
  <c r="S825" i="16"/>
  <c r="S785" i="16"/>
  <c r="S632" i="16"/>
  <c r="D632" i="16" s="1"/>
  <c r="S371" i="16"/>
  <c r="J371" i="16" s="1"/>
  <c r="S1257" i="16"/>
  <c r="S1200" i="16"/>
  <c r="I1200" i="16" s="1"/>
  <c r="S552" i="16"/>
  <c r="S914" i="16"/>
  <c r="S839" i="16"/>
  <c r="F839" i="16" s="1"/>
  <c r="S729" i="16"/>
  <c r="E729" i="16" s="1"/>
  <c r="S706" i="16"/>
  <c r="G706" i="16" s="1"/>
  <c r="S607" i="16"/>
  <c r="S488" i="16"/>
  <c r="G488" i="16" s="1"/>
  <c r="Y488" i="16"/>
  <c r="S417" i="16"/>
  <c r="E417" i="16" s="1"/>
  <c r="S401" i="16"/>
  <c r="S393" i="16"/>
  <c r="S519" i="16"/>
  <c r="D519" i="16" s="1"/>
  <c r="S745" i="16"/>
  <c r="S482" i="16"/>
  <c r="E482" i="16" s="1"/>
  <c r="S890" i="16"/>
  <c r="G890" i="16" s="1"/>
  <c r="S536" i="16"/>
  <c r="J536" i="16" s="1"/>
  <c r="Y434" i="16"/>
  <c r="S1259" i="16"/>
  <c r="E1259" i="16" s="1"/>
  <c r="S1252" i="16"/>
  <c r="S1244" i="16"/>
  <c r="D1244" i="16" s="1"/>
  <c r="S906" i="16"/>
  <c r="D906" i="16" s="1"/>
  <c r="Y760" i="16"/>
  <c r="S619" i="16"/>
  <c r="S611" i="16"/>
  <c r="G611" i="16" s="1"/>
  <c r="S385" i="16"/>
  <c r="S378" i="16"/>
  <c r="E378" i="16" s="1"/>
  <c r="S592" i="16"/>
  <c r="E592" i="16" s="1"/>
  <c r="S1000" i="16"/>
  <c r="Y736" i="16"/>
  <c r="S1194" i="16"/>
  <c r="S1232" i="16"/>
  <c r="I1232" i="16" s="1"/>
  <c r="S291" i="16"/>
  <c r="D475" i="16"/>
  <c r="F1018" i="16"/>
  <c r="G1018" i="16"/>
  <c r="S1012" i="16"/>
  <c r="E1012" i="16" s="1"/>
  <c r="S1008" i="16"/>
  <c r="F1008" i="16" s="1"/>
  <c r="S1155" i="16"/>
  <c r="I1155" i="16" s="1"/>
  <c r="S1004" i="16"/>
  <c r="G1097" i="16"/>
  <c r="S1220" i="16"/>
  <c r="F1220" i="16" s="1"/>
  <c r="S705" i="16"/>
  <c r="F705" i="16" s="1"/>
  <c r="S683" i="16"/>
  <c r="J683" i="16" s="1"/>
  <c r="S648" i="16"/>
  <c r="H648" i="16" s="1"/>
  <c r="S1162" i="16"/>
  <c r="H1162" i="16" s="1"/>
  <c r="S671" i="16"/>
  <c r="I671" i="16" s="1"/>
  <c r="S1148" i="16"/>
  <c r="S1073" i="16"/>
  <c r="S889" i="16"/>
  <c r="H889" i="16" s="1"/>
  <c r="S793" i="16"/>
  <c r="S514" i="16"/>
  <c r="Y641" i="16"/>
  <c r="J588" i="16"/>
  <c r="H1084" i="16"/>
  <c r="E1084" i="16"/>
  <c r="G1084" i="16"/>
  <c r="H475" i="16"/>
  <c r="I874" i="16"/>
  <c r="S847" i="16"/>
  <c r="S836" i="16"/>
  <c r="S771" i="16"/>
  <c r="G771" i="16" s="1"/>
  <c r="S409" i="16"/>
  <c r="E409" i="16" s="1"/>
  <c r="S386" i="16"/>
  <c r="I386" i="16" s="1"/>
  <c r="S1077" i="16"/>
  <c r="I1077" i="16" s="1"/>
  <c r="Y1077" i="16"/>
  <c r="S832" i="16"/>
  <c r="H832" i="16" s="1"/>
  <c r="S679" i="16"/>
  <c r="D679" i="16" s="1"/>
  <c r="S672" i="16"/>
  <c r="Y370" i="16"/>
  <c r="S363" i="16"/>
  <c r="Y328" i="16"/>
  <c r="S328" i="16"/>
  <c r="D328" i="16" s="1"/>
  <c r="I298" i="16"/>
  <c r="S282" i="16"/>
  <c r="H282" i="16" s="1"/>
  <c r="Y266" i="16"/>
  <c r="S1048" i="16"/>
  <c r="J1048" i="16" s="1"/>
  <c r="S1037" i="16"/>
  <c r="F1037" i="16" s="1"/>
  <c r="S946" i="16"/>
  <c r="Y946" i="16"/>
  <c r="S850" i="16"/>
  <c r="E850" i="16" s="1"/>
  <c r="S667" i="16"/>
  <c r="J667" i="16" s="1"/>
  <c r="S656" i="16"/>
  <c r="J656" i="16" s="1"/>
  <c r="S609" i="16"/>
  <c r="J609" i="16" s="1"/>
  <c r="S545" i="16"/>
  <c r="S474" i="16"/>
  <c r="E474" i="16" s="1"/>
  <c r="Y396" i="16"/>
  <c r="S379" i="16"/>
  <c r="S338" i="16"/>
  <c r="J338" i="16" s="1"/>
  <c r="S281" i="16"/>
  <c r="H281" i="16" s="1"/>
  <c r="S602" i="16"/>
  <c r="E602" i="16" s="1"/>
  <c r="S591" i="16"/>
  <c r="S305" i="16"/>
  <c r="G1033" i="16"/>
  <c r="F1033" i="16"/>
  <c r="S969" i="16"/>
  <c r="S697" i="16"/>
  <c r="E697" i="16" s="1"/>
  <c r="Y690" i="16"/>
  <c r="S690" i="16"/>
  <c r="S664" i="16"/>
  <c r="S652" i="16"/>
  <c r="S594" i="16"/>
  <c r="H594" i="16" s="1"/>
  <c r="S556" i="16"/>
  <c r="S400" i="16"/>
  <c r="S1261" i="16"/>
  <c r="S1258" i="16"/>
  <c r="S1124" i="16"/>
  <c r="I1124" i="16" s="1"/>
  <c r="S1120" i="16"/>
  <c r="I1120" i="16" s="1"/>
  <c r="S1105" i="16"/>
  <c r="I1018" i="16"/>
  <c r="S1228" i="16"/>
  <c r="F1228" i="16" s="1"/>
  <c r="S1051" i="16"/>
  <c r="J1051" i="16" s="1"/>
  <c r="S1016" i="16"/>
  <c r="S1001" i="16"/>
  <c r="Y1001" i="16"/>
  <c r="S922" i="16"/>
  <c r="J922" i="16" s="1"/>
  <c r="Y636" i="16"/>
  <c r="S1276" i="16"/>
  <c r="E1276" i="16" s="1"/>
  <c r="S506" i="16"/>
  <c r="E506" i="16" s="1"/>
  <c r="Y981" i="16"/>
  <c r="S827" i="16"/>
  <c r="J827" i="16" s="1"/>
  <c r="S779" i="16"/>
  <c r="F779" i="16" s="1"/>
  <c r="S737" i="16"/>
  <c r="S651" i="16"/>
  <c r="S499" i="16"/>
  <c r="F499" i="16" s="1"/>
  <c r="I1084" i="16"/>
  <c r="J1084" i="16"/>
  <c r="H874" i="16"/>
  <c r="S778" i="16"/>
  <c r="Y728" i="16"/>
  <c r="S728" i="16"/>
  <c r="H728" i="16" s="1"/>
  <c r="S585" i="16"/>
  <c r="S579" i="16"/>
  <c r="S527" i="16"/>
  <c r="H527" i="16" s="1"/>
  <c r="S523" i="16"/>
  <c r="S351" i="16"/>
  <c r="Y336" i="16"/>
  <c r="S1176" i="16"/>
  <c r="S1140" i="16"/>
  <c r="G1140" i="16" s="1"/>
  <c r="S1076" i="16"/>
  <c r="D1076" i="16" s="1"/>
  <c r="S1064" i="16"/>
  <c r="J1064" i="16" s="1"/>
  <c r="S1234" i="16"/>
  <c r="Y1234" i="16"/>
  <c r="S1139" i="16"/>
  <c r="F1139" i="16" s="1"/>
  <c r="Y1139" i="16"/>
  <c r="S1060" i="16"/>
  <c r="J1060" i="16" s="1"/>
  <c r="S930" i="16"/>
  <c r="G930" i="16" s="1"/>
  <c r="Y930" i="16"/>
  <c r="S615" i="16"/>
  <c r="F615" i="16" s="1"/>
  <c r="S487" i="16"/>
  <c r="I487" i="16" s="1"/>
  <c r="S321" i="16"/>
  <c r="I321" i="16" s="1"/>
  <c r="S306" i="16"/>
  <c r="F306" i="16" s="1"/>
  <c r="F989" i="16"/>
  <c r="Y989" i="16"/>
  <c r="S1081" i="16"/>
  <c r="F1081" i="16" s="1"/>
  <c r="S347" i="16"/>
  <c r="J347" i="16" s="1"/>
  <c r="S770" i="16"/>
  <c r="F770" i="16" s="1"/>
  <c r="S273" i="16"/>
  <c r="E273" i="16" s="1"/>
  <c r="S689" i="16"/>
  <c r="S267" i="16"/>
  <c r="I495" i="16"/>
  <c r="G874" i="16"/>
  <c r="G1041" i="16"/>
  <c r="G1211" i="16"/>
  <c r="J352" i="16"/>
  <c r="G1264" i="16"/>
  <c r="G744" i="16"/>
  <c r="I471" i="16"/>
  <c r="F471" i="16"/>
  <c r="H264" i="16"/>
  <c r="D1212" i="16"/>
  <c r="I561" i="16"/>
  <c r="E352" i="16"/>
  <c r="F809" i="16"/>
  <c r="F507" i="16"/>
  <c r="H839" i="16"/>
  <c r="D1061" i="16"/>
  <c r="I1019" i="16"/>
  <c r="H448" i="16"/>
  <c r="J479" i="16"/>
  <c r="G479" i="16"/>
  <c r="I1264" i="16"/>
  <c r="E1264" i="16"/>
  <c r="J914" i="16"/>
  <c r="D674" i="16"/>
  <c r="F455" i="16"/>
  <c r="I663" i="16"/>
  <c r="F460" i="16"/>
  <c r="H503" i="16"/>
  <c r="E507" i="16"/>
  <c r="E842" i="16"/>
  <c r="H842" i="16"/>
  <c r="H528" i="16"/>
  <c r="J704" i="16"/>
  <c r="H704" i="16"/>
  <c r="F704" i="16"/>
  <c r="D704" i="16"/>
  <c r="F1161" i="16"/>
  <c r="I344" i="16"/>
  <c r="H1004" i="16"/>
  <c r="E659" i="16"/>
  <c r="G659" i="16"/>
  <c r="G914" i="16"/>
  <c r="F760" i="16"/>
  <c r="F842" i="16"/>
  <c r="I842" i="16"/>
  <c r="G842" i="16"/>
  <c r="J288" i="16"/>
  <c r="F348" i="16"/>
  <c r="G683" i="16"/>
  <c r="E683" i="16"/>
  <c r="J289" i="16"/>
  <c r="F683" i="16"/>
  <c r="D1004" i="16"/>
  <c r="H683" i="16"/>
  <c r="G1083" i="16"/>
  <c r="I665" i="16"/>
  <c r="J665" i="16"/>
  <c r="D288" i="16"/>
  <c r="E348" i="16"/>
  <c r="J348" i="16"/>
  <c r="I370" i="16"/>
  <c r="E1090" i="16"/>
  <c r="J663" i="16"/>
  <c r="H663" i="16"/>
  <c r="G663" i="16"/>
  <c r="G722" i="16"/>
  <c r="J1098" i="16"/>
  <c r="E328" i="16"/>
  <c r="D1050" i="16"/>
  <c r="E1050" i="16"/>
  <c r="D572" i="16"/>
  <c r="I1140" i="16"/>
  <c r="D1116" i="16"/>
  <c r="H1116" i="16"/>
  <c r="E1116" i="16"/>
  <c r="D523" i="16"/>
  <c r="G5" i="10"/>
  <c r="H5" i="10" s="1"/>
  <c r="F6" i="10"/>
  <c r="H6" i="10" s="1"/>
  <c r="F61" i="10"/>
  <c r="C2" i="10" s="1"/>
  <c r="D1026" i="16"/>
  <c r="J1026" i="16"/>
  <c r="S1168" i="16"/>
  <c r="S1164" i="16"/>
  <c r="I1164" i="16" s="1"/>
  <c r="S1160" i="16"/>
  <c r="E1160" i="16" s="1"/>
  <c r="S1104" i="16"/>
  <c r="S1096" i="16"/>
  <c r="D1096" i="16" s="1"/>
  <c r="S1089" i="16"/>
  <c r="H1089" i="16" s="1"/>
  <c r="S1003" i="16"/>
  <c r="D1003" i="16" s="1"/>
  <c r="S992" i="16"/>
  <c r="S988" i="16"/>
  <c r="G988" i="16" s="1"/>
  <c r="S970" i="16"/>
  <c r="S965" i="16"/>
  <c r="J965" i="16" s="1"/>
  <c r="H961" i="16"/>
  <c r="D961" i="16"/>
  <c r="F961" i="16"/>
  <c r="S954" i="16"/>
  <c r="J954" i="16" s="1"/>
  <c r="S852" i="16"/>
  <c r="F852" i="16" s="1"/>
  <c r="Y852" i="16"/>
  <c r="S848" i="16"/>
  <c r="Y848" i="16"/>
  <c r="S840" i="16"/>
  <c r="I840" i="16" s="1"/>
  <c r="Y840" i="16"/>
  <c r="E633" i="16"/>
  <c r="D633" i="16"/>
  <c r="H633" i="16"/>
  <c r="J633" i="16"/>
  <c r="I633" i="16"/>
  <c r="S450" i="16"/>
  <c r="E450" i="16" s="1"/>
  <c r="Y428" i="16"/>
  <c r="S428" i="16"/>
  <c r="E428" i="16" s="1"/>
  <c r="Y424" i="16"/>
  <c r="S424" i="16"/>
  <c r="H424" i="16" s="1"/>
  <c r="S420" i="16"/>
  <c r="Y420" i="16"/>
  <c r="S416" i="16"/>
  <c r="Y416" i="16"/>
  <c r="S283" i="16"/>
  <c r="F283" i="16" s="1"/>
  <c r="Y283" i="16"/>
  <c r="S279" i="16"/>
  <c r="I279" i="16" s="1"/>
  <c r="S275" i="16"/>
  <c r="J275" i="16" s="1"/>
  <c r="S271" i="16"/>
  <c r="D271" i="16" s="1"/>
  <c r="H348" i="16"/>
  <c r="D289" i="16"/>
  <c r="G348" i="16"/>
  <c r="E343" i="16"/>
  <c r="G633" i="16"/>
  <c r="I961" i="16"/>
  <c r="Y289" i="16"/>
  <c r="S1177" i="16"/>
  <c r="Y1177" i="16"/>
  <c r="S945" i="16"/>
  <c r="I945" i="16" s="1"/>
  <c r="Y882" i="16"/>
  <c r="S834" i="16"/>
  <c r="G834" i="16" s="1"/>
  <c r="Y834" i="16"/>
  <c r="S818" i="16"/>
  <c r="E818" i="16" s="1"/>
  <c r="S800" i="16"/>
  <c r="S792" i="16"/>
  <c r="G792" i="16" s="1"/>
  <c r="Y784" i="16"/>
  <c r="S784" i="16"/>
  <c r="S730" i="16"/>
  <c r="D730" i="16" s="1"/>
  <c r="S711" i="16"/>
  <c r="S707" i="16"/>
  <c r="S703" i="16"/>
  <c r="S699" i="16"/>
  <c r="D699" i="16" s="1"/>
  <c r="Y696" i="16"/>
  <c r="S696" i="16"/>
  <c r="D696" i="16" s="1"/>
  <c r="Y692" i="16"/>
  <c r="S692" i="16"/>
  <c r="S673" i="16"/>
  <c r="S666" i="16"/>
  <c r="I666" i="16" s="1"/>
  <c r="Y650" i="16"/>
  <c r="S650" i="16"/>
  <c r="D650" i="16" s="1"/>
  <c r="Y642" i="16"/>
  <c r="S642" i="16"/>
  <c r="I642" i="16" s="1"/>
  <c r="S635" i="16"/>
  <c r="G635" i="16" s="1"/>
  <c r="S452" i="16"/>
  <c r="I452" i="16" s="1"/>
  <c r="E410" i="16"/>
  <c r="F410" i="16"/>
  <c r="H410" i="16"/>
  <c r="I410" i="16"/>
  <c r="J410" i="16"/>
  <c r="S384" i="16"/>
  <c r="H384" i="16" s="1"/>
  <c r="Y384" i="16"/>
  <c r="S377" i="16"/>
  <c r="G377" i="16" s="1"/>
  <c r="S315" i="16"/>
  <c r="J628" i="16"/>
  <c r="E1026" i="16"/>
  <c r="S297" i="16"/>
  <c r="G297" i="16" s="1"/>
  <c r="F633" i="16"/>
  <c r="S624" i="16"/>
  <c r="E624" i="16" s="1"/>
  <c r="I760" i="16"/>
  <c r="Y628" i="16"/>
  <c r="S658" i="16"/>
  <c r="I658" i="16" s="1"/>
  <c r="Y1106" i="16"/>
  <c r="Y970" i="16"/>
  <c r="Y945" i="16"/>
  <c r="Y681" i="16"/>
  <c r="Y673" i="16"/>
  <c r="Y633" i="16"/>
  <c r="Y381" i="16"/>
  <c r="Y377" i="16"/>
  <c r="Y722" i="16"/>
  <c r="Y602" i="16"/>
  <c r="H932" i="16"/>
  <c r="J392" i="16"/>
  <c r="I794" i="16"/>
  <c r="D794" i="16"/>
  <c r="E794" i="16"/>
  <c r="F344" i="16"/>
  <c r="E344" i="16"/>
  <c r="J344" i="16"/>
  <c r="D716" i="16"/>
  <c r="F716" i="16"/>
  <c r="Y426" i="16"/>
  <c r="S426" i="16"/>
  <c r="J426" i="16" s="1"/>
  <c r="S418" i="16"/>
  <c r="J418" i="16" s="1"/>
  <c r="Y418" i="16"/>
  <c r="G344" i="16"/>
  <c r="Y340" i="16"/>
  <c r="S336" i="16"/>
  <c r="H336" i="16" s="1"/>
  <c r="S332" i="16"/>
  <c r="G332" i="16" s="1"/>
  <c r="Y332" i="16"/>
  <c r="H344" i="16"/>
  <c r="J964" i="16"/>
  <c r="D609" i="16"/>
  <c r="H609" i="16"/>
  <c r="G609" i="16"/>
  <c r="E609" i="16"/>
  <c r="H484" i="16"/>
  <c r="F484" i="16"/>
  <c r="I503" i="16"/>
  <c r="G503" i="16"/>
  <c r="D887" i="16"/>
  <c r="F887" i="16"/>
  <c r="Y1287" i="16"/>
  <c r="H1250" i="16"/>
  <c r="E1250" i="16"/>
  <c r="S1243" i="16"/>
  <c r="F1243" i="16" s="1"/>
  <c r="Y1243" i="16"/>
  <c r="S1184" i="16"/>
  <c r="H1184" i="16" s="1"/>
  <c r="F984" i="16"/>
  <c r="F1067" i="16"/>
  <c r="E831" i="16"/>
  <c r="H831" i="16"/>
  <c r="G982" i="16"/>
  <c r="I714" i="16"/>
  <c r="F744" i="16"/>
  <c r="E744" i="16"/>
  <c r="H744" i="16"/>
  <c r="D471" i="16"/>
  <c r="E471" i="16"/>
  <c r="J471" i="16"/>
  <c r="G471" i="16"/>
  <c r="H471" i="16"/>
  <c r="F266" i="16"/>
  <c r="I266" i="16"/>
  <c r="I890" i="16"/>
  <c r="D1036" i="16"/>
  <c r="D468" i="16"/>
  <c r="J674" i="16"/>
  <c r="E674" i="16"/>
  <c r="F1212" i="16"/>
  <c r="E1212" i="16"/>
  <c r="H987" i="16"/>
  <c r="D1068" i="16"/>
  <c r="F1068" i="16"/>
  <c r="I1068" i="16"/>
  <c r="H595" i="16"/>
  <c r="F595" i="16"/>
  <c r="D1275" i="16"/>
  <c r="I883" i="16"/>
  <c r="F891" i="16"/>
  <c r="E863" i="16"/>
  <c r="S1272" i="16"/>
  <c r="H1272" i="16" s="1"/>
  <c r="G1265" i="16"/>
  <c r="S1219" i="16"/>
  <c r="E1219" i="16" s="1"/>
  <c r="F688" i="16"/>
  <c r="F681" i="16"/>
  <c r="S610" i="16"/>
  <c r="D610" i="16" s="1"/>
  <c r="Y610" i="16"/>
  <c r="J587" i="16"/>
  <c r="I587" i="16"/>
  <c r="G587" i="16"/>
  <c r="H587" i="16"/>
  <c r="S559" i="16"/>
  <c r="J559" i="16" s="1"/>
  <c r="S543" i="16"/>
  <c r="S466" i="16"/>
  <c r="S458" i="16"/>
  <c r="Y440" i="16"/>
  <c r="Y436" i="16"/>
  <c r="S436" i="16"/>
  <c r="E436" i="16" s="1"/>
  <c r="S432" i="16"/>
  <c r="F432" i="16" s="1"/>
  <c r="Y432" i="16"/>
  <c r="D402" i="16"/>
  <c r="J402" i="16"/>
  <c r="I402" i="16"/>
  <c r="H402" i="16"/>
  <c r="E402" i="16"/>
  <c r="G402" i="16"/>
  <c r="S388" i="16"/>
  <c r="J388" i="16" s="1"/>
  <c r="G508" i="16"/>
  <c r="F508" i="16"/>
  <c r="D266" i="16"/>
  <c r="H468" i="16"/>
  <c r="E681" i="16"/>
  <c r="F987" i="16"/>
  <c r="H1212" i="16"/>
  <c r="H1068" i="16"/>
  <c r="H674" i="16"/>
  <c r="D987" i="16"/>
  <c r="D587" i="16"/>
  <c r="F402" i="16"/>
  <c r="H793" i="16"/>
  <c r="E643" i="16"/>
  <c r="F352" i="16"/>
  <c r="D352" i="16"/>
  <c r="S1152" i="16"/>
  <c r="F1136" i="16"/>
  <c r="S1132" i="16"/>
  <c r="G1132" i="16" s="1"/>
  <c r="S1074" i="16"/>
  <c r="G1074" i="16" s="1"/>
  <c r="S919" i="16"/>
  <c r="S904" i="16"/>
  <c r="H904" i="16" s="1"/>
  <c r="Y904" i="16"/>
  <c r="S780" i="16"/>
  <c r="S776" i="16"/>
  <c r="Y772" i="16"/>
  <c r="S768" i="16"/>
  <c r="E768" i="16" s="1"/>
  <c r="Y752" i="16"/>
  <c r="S752" i="16"/>
  <c r="E752" i="16" s="1"/>
  <c r="J691" i="16"/>
  <c r="S649" i="16"/>
  <c r="D649" i="16" s="1"/>
  <c r="S641" i="16"/>
  <c r="D641" i="16" s="1"/>
  <c r="Y632" i="16"/>
  <c r="S617" i="16"/>
  <c r="Y578" i="16"/>
  <c r="G1004" i="16"/>
  <c r="E1080" i="16"/>
  <c r="G681" i="16"/>
  <c r="H681" i="16"/>
  <c r="G1036" i="16"/>
  <c r="F674" i="16"/>
  <c r="E907" i="16"/>
  <c r="I394" i="16"/>
  <c r="F280" i="16"/>
  <c r="I1212" i="16"/>
  <c r="H394" i="16"/>
  <c r="H583" i="16"/>
  <c r="G352" i="16"/>
  <c r="J1275" i="16"/>
  <c r="I863" i="16"/>
  <c r="E587" i="16"/>
  <c r="F587" i="16"/>
  <c r="J1028" i="16"/>
  <c r="S1268" i="16"/>
  <c r="H1268" i="16" s="1"/>
  <c r="D1155" i="16"/>
  <c r="H1155" i="16"/>
  <c r="S440" i="16"/>
  <c r="F440" i="16" s="1"/>
  <c r="G603" i="16"/>
  <c r="H1252" i="16"/>
  <c r="F1252" i="16"/>
  <c r="I839" i="16"/>
  <c r="E839" i="16"/>
  <c r="J839" i="16"/>
  <c r="S695" i="16"/>
  <c r="D695" i="16" s="1"/>
  <c r="D463" i="16"/>
  <c r="H915" i="16"/>
  <c r="E1180" i="16"/>
  <c r="D1285" i="16"/>
  <c r="S1240" i="16"/>
  <c r="S895" i="16"/>
  <c r="I895" i="16" s="1"/>
  <c r="S823" i="16"/>
  <c r="I823" i="16" s="1"/>
  <c r="S492" i="16"/>
  <c r="I492" i="16" s="1"/>
  <c r="Y492" i="16"/>
  <c r="F954" i="16"/>
  <c r="G696" i="16"/>
  <c r="H738" i="16"/>
  <c r="I37" i="10"/>
  <c r="J56" i="10"/>
  <c r="I54" i="10"/>
  <c r="J5" i="10"/>
  <c r="C3" i="10"/>
  <c r="A31" i="2"/>
  <c r="I61" i="10"/>
  <c r="J4" i="16"/>
  <c r="I32" i="10"/>
  <c r="J15" i="10"/>
  <c r="A32" i="2"/>
  <c r="C23" i="3"/>
  <c r="C17" i="3"/>
  <c r="J4" i="10"/>
  <c r="J42" i="10"/>
  <c r="C27" i="3"/>
  <c r="A37" i="2"/>
  <c r="G4" i="14"/>
  <c r="B13" i="3"/>
  <c r="J64" i="10"/>
  <c r="A25" i="2"/>
  <c r="J57" i="10"/>
  <c r="K4" i="16"/>
  <c r="I30" i="10"/>
  <c r="B18" i="4"/>
  <c r="A10" i="10" s="1"/>
  <c r="J12" i="10"/>
  <c r="J38" i="10"/>
  <c r="A50" i="2"/>
  <c r="I28" i="10"/>
  <c r="I51" i="10"/>
  <c r="B30" i="3"/>
  <c r="B21" i="4"/>
  <c r="A12" i="10" s="1"/>
  <c r="A14" i="2"/>
  <c r="B15" i="4"/>
  <c r="A7" i="10" s="1"/>
  <c r="C5" i="11"/>
  <c r="B39" i="4"/>
  <c r="B63" i="4" s="1"/>
  <c r="A46" i="10" s="1"/>
  <c r="B3" i="10"/>
  <c r="B25" i="4"/>
  <c r="A14" i="10" s="1"/>
  <c r="A71" i="2"/>
  <c r="I48" i="10"/>
  <c r="I57" i="10"/>
  <c r="H4" i="16"/>
  <c r="A21" i="2"/>
  <c r="A67" i="2"/>
  <c r="A59" i="2"/>
  <c r="J33" i="10"/>
  <c r="A62" i="2"/>
  <c r="C3" i="3"/>
  <c r="A66" i="2"/>
  <c r="H4" i="14"/>
  <c r="A53" i="2"/>
  <c r="D25" i="4"/>
  <c r="D37" i="4" s="1"/>
  <c r="J37" i="10"/>
  <c r="G25" i="4"/>
  <c r="G49" i="4" s="1"/>
  <c r="M4" i="16"/>
  <c r="C9" i="3"/>
  <c r="A26" i="2"/>
  <c r="I4" i="14"/>
  <c r="B29" i="3"/>
  <c r="C10" i="3"/>
  <c r="I55" i="10"/>
  <c r="B2" i="16"/>
  <c r="A56" i="2"/>
  <c r="A4" i="2"/>
  <c r="C8" i="3"/>
  <c r="B41" i="4"/>
  <c r="A28" i="10" s="1"/>
  <c r="C21" i="3"/>
  <c r="B67" i="4"/>
  <c r="C29" i="3"/>
  <c r="I68" i="4"/>
  <c r="F4" i="16"/>
  <c r="J46" i="10"/>
  <c r="C6" i="3"/>
  <c r="B16" i="4"/>
  <c r="A8" i="10" s="1"/>
  <c r="C13" i="3"/>
  <c r="C11" i="3"/>
  <c r="I11" i="10"/>
  <c r="I4" i="10"/>
  <c r="J9" i="10"/>
  <c r="G4" i="16"/>
  <c r="D6" i="10"/>
  <c r="E557" i="16"/>
  <c r="D929" i="16"/>
  <c r="E996" i="16"/>
  <c r="F264" i="16"/>
  <c r="G1212" i="16"/>
  <c r="J1212" i="16"/>
  <c r="E1209" i="16"/>
  <c r="D1209" i="16"/>
  <c r="G1209" i="16"/>
  <c r="H1264" i="16"/>
  <c r="D1264" i="16"/>
  <c r="J1264" i="16"/>
  <c r="F1264" i="16"/>
  <c r="I401" i="16"/>
  <c r="J401" i="16"/>
  <c r="I973" i="16"/>
  <c r="I801" i="16"/>
  <c r="J490" i="16"/>
  <c r="D490" i="16"/>
  <c r="G631" i="16"/>
  <c r="J631" i="16"/>
  <c r="I631" i="16"/>
  <c r="G1027" i="16"/>
  <c r="J1027" i="16"/>
  <c r="D4" i="10"/>
  <c r="D11" i="10"/>
  <c r="D23" i="10"/>
  <c r="Y577" i="16"/>
  <c r="S753" i="16"/>
  <c r="A1" i="14"/>
  <c r="I62" i="10"/>
  <c r="G532" i="16"/>
  <c r="F532" i="16"/>
  <c r="H532" i="16"/>
  <c r="I532" i="16"/>
  <c r="J532" i="16"/>
  <c r="E532" i="16"/>
  <c r="D532" i="16"/>
  <c r="J1184" i="16"/>
  <c r="E1184" i="16"/>
  <c r="F1287" i="16"/>
  <c r="J1168" i="16"/>
  <c r="I1168" i="16"/>
  <c r="F1090" i="16"/>
  <c r="H1090" i="16"/>
  <c r="I1090" i="16"/>
  <c r="D1090" i="16"/>
  <c r="J1001" i="16"/>
  <c r="E1001" i="16"/>
  <c r="F1001" i="16"/>
  <c r="G1001" i="16"/>
  <c r="I1001" i="16"/>
  <c r="F1051" i="16"/>
  <c r="D392" i="16"/>
  <c r="G392" i="16"/>
  <c r="H619" i="16"/>
  <c r="J619" i="16"/>
  <c r="E619" i="16"/>
  <c r="D619" i="16"/>
  <c r="E1125" i="16"/>
  <c r="J1125" i="16"/>
  <c r="H618" i="16"/>
  <c r="E618" i="16"/>
  <c r="F314" i="16"/>
  <c r="G1090" i="16"/>
  <c r="I1060" i="16"/>
  <c r="F619" i="16"/>
  <c r="D449" i="16"/>
  <c r="E1139" i="16"/>
  <c r="H585" i="16"/>
  <c r="I585" i="16"/>
  <c r="F1120" i="16"/>
  <c r="J514" i="16"/>
  <c r="E705" i="16"/>
  <c r="H705" i="16"/>
  <c r="I705" i="16"/>
  <c r="E736" i="16"/>
  <c r="E1252" i="16"/>
  <c r="D1252" i="16"/>
  <c r="J1252" i="16"/>
  <c r="J644" i="16"/>
  <c r="D644" i="16"/>
  <c r="G1121" i="16"/>
  <c r="I1121" i="16"/>
  <c r="D1121" i="16"/>
  <c r="F1121" i="16"/>
  <c r="F973" i="16"/>
  <c r="I283" i="16"/>
  <c r="G535" i="16"/>
  <c r="H535" i="16"/>
  <c r="F535" i="16"/>
  <c r="J535" i="16"/>
  <c r="S524" i="16"/>
  <c r="I524" i="16" s="1"/>
  <c r="Y524" i="16"/>
  <c r="S516" i="16"/>
  <c r="F516" i="16" s="1"/>
  <c r="Y516" i="16"/>
  <c r="E508" i="16"/>
  <c r="I508" i="16"/>
  <c r="D508" i="16"/>
  <c r="S500" i="16"/>
  <c r="Y500" i="16"/>
  <c r="S496" i="16"/>
  <c r="Y496" i="16"/>
  <c r="Y489" i="16"/>
  <c r="S489" i="16"/>
  <c r="D489" i="16" s="1"/>
  <c r="S451" i="16"/>
  <c r="D451" i="16" s="1"/>
  <c r="Y451" i="16"/>
  <c r="S395" i="16"/>
  <c r="H395" i="16" s="1"/>
  <c r="Y395" i="16"/>
  <c r="G283" i="16"/>
  <c r="F528" i="16"/>
  <c r="D306" i="16"/>
  <c r="J1090" i="16"/>
  <c r="Y361" i="16"/>
  <c r="S369" i="16"/>
  <c r="H369" i="16" s="1"/>
  <c r="H508" i="16"/>
  <c r="I619" i="16"/>
  <c r="D1073" i="16"/>
  <c r="G1073" i="16"/>
  <c r="S520" i="16"/>
  <c r="H520" i="16" s="1"/>
  <c r="E828" i="16"/>
  <c r="G828" i="16"/>
  <c r="F372" i="16"/>
  <c r="D372" i="16"/>
  <c r="D984" i="16"/>
  <c r="J984" i="16"/>
  <c r="F912" i="16"/>
  <c r="D912" i="16"/>
  <c r="J1088" i="16"/>
  <c r="I680" i="16"/>
  <c r="E680" i="16"/>
  <c r="G704" i="16"/>
  <c r="I704" i="16"/>
  <c r="S1034" i="16"/>
  <c r="J1034" i="16" s="1"/>
  <c r="J626" i="16"/>
  <c r="Y1221" i="16"/>
  <c r="S1221" i="16"/>
  <c r="S1217" i="16"/>
  <c r="I1217" i="16" s="1"/>
  <c r="Y1217" i="16"/>
  <c r="E1213" i="16"/>
  <c r="J1213" i="16"/>
  <c r="Y1201" i="16"/>
  <c r="S1201" i="16"/>
  <c r="G1201" i="16" s="1"/>
  <c r="S1193" i="16"/>
  <c r="Y1193" i="16"/>
  <c r="S1185" i="16"/>
  <c r="G1185" i="16" s="1"/>
  <c r="Y1185" i="16"/>
  <c r="Y928" i="16"/>
  <c r="S928" i="16"/>
  <c r="Y924" i="16"/>
  <c r="S924" i="16"/>
  <c r="S916" i="16"/>
  <c r="D916" i="16" s="1"/>
  <c r="S715" i="16"/>
  <c r="D715" i="16" s="1"/>
  <c r="S682" i="16"/>
  <c r="Y682" i="16"/>
  <c r="S639" i="16"/>
  <c r="H639" i="16" s="1"/>
  <c r="G619" i="16"/>
  <c r="S596" i="16"/>
  <c r="Y584" i="16"/>
  <c r="S584" i="16"/>
  <c r="D584" i="16" s="1"/>
  <c r="H577" i="16"/>
  <c r="E577" i="16"/>
  <c r="Y596" i="16"/>
  <c r="Y588" i="16"/>
  <c r="Y532" i="16"/>
  <c r="Y528" i="16"/>
  <c r="Y504" i="16"/>
  <c r="Y314" i="16"/>
  <c r="Y306" i="16"/>
  <c r="Y298" i="16"/>
  <c r="S937" i="16"/>
  <c r="G937" i="16" s="1"/>
  <c r="Y937" i="16"/>
  <c r="S748" i="16"/>
  <c r="E748" i="16" s="1"/>
  <c r="Y748" i="16"/>
  <c r="S640" i="16"/>
  <c r="Y640" i="16"/>
  <c r="S362" i="16"/>
  <c r="F362" i="16" s="1"/>
  <c r="Y362" i="16"/>
  <c r="Y1237" i="16"/>
  <c r="Y1233" i="16"/>
  <c r="Y1213" i="16"/>
  <c r="Y1209" i="16"/>
  <c r="Y1169" i="16"/>
  <c r="Y1165" i="16"/>
  <c r="Y716" i="16"/>
  <c r="Y697" i="16"/>
  <c r="Y693" i="16"/>
  <c r="Y533" i="16"/>
  <c r="Y521" i="16"/>
  <c r="Y513" i="16"/>
  <c r="Y497" i="16"/>
  <c r="Y482" i="16"/>
  <c r="Y474" i="16"/>
  <c r="Y466" i="16"/>
  <c r="Y458" i="16"/>
  <c r="Y966" i="16"/>
  <c r="Y1098" i="16"/>
  <c r="Y1090" i="16"/>
  <c r="Y1058" i="16"/>
  <c r="Y1054" i="16"/>
  <c r="Y1050" i="16"/>
  <c r="Y1027" i="16"/>
  <c r="Y995" i="16"/>
  <c r="Y987" i="16"/>
  <c r="Y1196" i="16"/>
  <c r="Y1148" i="16"/>
  <c r="Y1097" i="16"/>
  <c r="Y1093" i="16"/>
  <c r="Y1085" i="16"/>
  <c r="Y1081" i="16"/>
  <c r="Y1069" i="16"/>
  <c r="Y1061" i="16"/>
  <c r="Y1049" i="16"/>
  <c r="Y1018" i="16"/>
  <c r="Y732" i="16"/>
  <c r="Y666" i="16"/>
  <c r="Y658" i="16"/>
  <c r="Y562" i="16"/>
  <c r="Y546" i="16"/>
  <c r="Y490" i="16"/>
  <c r="Y412" i="16"/>
  <c r="Y408" i="16"/>
  <c r="Y404" i="16"/>
  <c r="Y400" i="16"/>
  <c r="Y392" i="16"/>
  <c r="Y388" i="16"/>
  <c r="Y372" i="16"/>
  <c r="Y368" i="16"/>
  <c r="Y364" i="16"/>
  <c r="Y360" i="16"/>
  <c r="Y356" i="16"/>
  <c r="Y285" i="16"/>
  <c r="Y281" i="16"/>
  <c r="Y273" i="16"/>
  <c r="F424" i="16"/>
  <c r="J424" i="16"/>
  <c r="I389" i="16"/>
  <c r="G668" i="16"/>
  <c r="E668" i="16"/>
  <c r="F668" i="16"/>
  <c r="H668" i="16"/>
  <c r="J668" i="16"/>
  <c r="J1004" i="16"/>
  <c r="F1004" i="16"/>
  <c r="I1004" i="16"/>
  <c r="E1004" i="16"/>
  <c r="F724" i="16"/>
  <c r="E890" i="16"/>
  <c r="J890" i="16"/>
  <c r="D890" i="16"/>
  <c r="I1276" i="16"/>
  <c r="I1161" i="16"/>
  <c r="G1161" i="16"/>
  <c r="D1245" i="16"/>
  <c r="I1245" i="16"/>
  <c r="F322" i="16"/>
  <c r="E322" i="16"/>
  <c r="I322" i="16"/>
  <c r="J719" i="16"/>
  <c r="I719" i="16"/>
  <c r="G719" i="16"/>
  <c r="J1273" i="16"/>
  <c r="H1273" i="16"/>
  <c r="E1273" i="16"/>
  <c r="F1265" i="16"/>
  <c r="H1265" i="16"/>
  <c r="I1265" i="16"/>
  <c r="I1229" i="16"/>
  <c r="J1229" i="16"/>
  <c r="H1229" i="16"/>
  <c r="J1067" i="16"/>
  <c r="D1067" i="16"/>
  <c r="E1067" i="16"/>
  <c r="H1067" i="16"/>
  <c r="G1019" i="16"/>
  <c r="H1019" i="16"/>
  <c r="F905" i="16"/>
  <c r="G905" i="16"/>
  <c r="D905" i="16"/>
  <c r="J905" i="16"/>
  <c r="F881" i="16"/>
  <c r="J881" i="16"/>
  <c r="I881" i="16"/>
  <c r="E760" i="16"/>
  <c r="J760" i="16"/>
  <c r="H760" i="16"/>
  <c r="G760" i="16"/>
  <c r="I676" i="16"/>
  <c r="H676" i="16"/>
  <c r="J676" i="16"/>
  <c r="D620" i="16"/>
  <c r="J620" i="16"/>
  <c r="H620" i="16"/>
  <c r="G490" i="16"/>
  <c r="E490" i="16"/>
  <c r="F490" i="16"/>
  <c r="F343" i="16"/>
  <c r="H343" i="16"/>
  <c r="J343" i="16"/>
  <c r="G339" i="16"/>
  <c r="J339" i="16"/>
  <c r="I288" i="16"/>
  <c r="G288" i="16"/>
  <c r="E288" i="16"/>
  <c r="I490" i="16"/>
  <c r="F1245" i="16"/>
  <c r="E881" i="16"/>
  <c r="G1229" i="16"/>
  <c r="G280" i="16"/>
  <c r="J1043" i="16"/>
  <c r="H836" i="16"/>
  <c r="E370" i="16"/>
  <c r="I1273" i="16"/>
  <c r="D370" i="16"/>
  <c r="G881" i="16"/>
  <c r="H881" i="16"/>
  <c r="D1229" i="16"/>
  <c r="E1245" i="16"/>
  <c r="F863" i="16"/>
  <c r="I1067" i="16"/>
  <c r="F836" i="16"/>
  <c r="D1265" i="16"/>
  <c r="F1273" i="16"/>
  <c r="J370" i="16"/>
  <c r="H288" i="16"/>
  <c r="G1067" i="16"/>
  <c r="E1105" i="16"/>
  <c r="I343" i="16"/>
  <c r="J322" i="16"/>
  <c r="I905" i="16"/>
  <c r="H1093" i="16"/>
  <c r="I1093" i="16"/>
  <c r="J1073" i="16"/>
  <c r="H1073" i="16"/>
  <c r="J684" i="16"/>
  <c r="D684" i="16"/>
  <c r="H1194" i="16"/>
  <c r="G1194" i="16"/>
  <c r="G732" i="16"/>
  <c r="I732" i="16"/>
  <c r="J842" i="16"/>
  <c r="D842" i="16"/>
  <c r="F733" i="16"/>
  <c r="H536" i="16"/>
  <c r="D536" i="16"/>
  <c r="E745" i="16"/>
  <c r="H745" i="16"/>
  <c r="E393" i="16"/>
  <c r="F393" i="16"/>
  <c r="F825" i="16"/>
  <c r="F1204" i="16"/>
  <c r="G1204" i="16"/>
  <c r="D1204" i="16"/>
  <c r="J1204" i="16"/>
  <c r="I601" i="16"/>
  <c r="D601" i="16"/>
  <c r="J1209" i="16"/>
  <c r="H1209" i="16"/>
  <c r="I1209" i="16"/>
  <c r="I1211" i="16"/>
  <c r="H1057" i="16"/>
  <c r="E1057" i="16"/>
  <c r="D1041" i="16"/>
  <c r="I1041" i="16"/>
  <c r="J1041" i="16"/>
  <c r="H1041" i="16"/>
  <c r="F1041" i="16"/>
  <c r="D410" i="16"/>
  <c r="G410" i="16"/>
  <c r="D298" i="16"/>
  <c r="J298" i="16"/>
  <c r="F298" i="16"/>
  <c r="H298" i="16"/>
  <c r="E298" i="16"/>
  <c r="G298" i="16"/>
  <c r="I456" i="16"/>
  <c r="H456" i="16"/>
  <c r="E456" i="16"/>
  <c r="J312" i="16"/>
  <c r="D312" i="16"/>
  <c r="G1213" i="16"/>
  <c r="I1213" i="16"/>
  <c r="E929" i="16"/>
  <c r="I929" i="16"/>
  <c r="D599" i="16"/>
  <c r="J599" i="16"/>
  <c r="I599" i="16"/>
  <c r="D588" i="16"/>
  <c r="G588" i="16"/>
  <c r="D580" i="16"/>
  <c r="E580" i="16"/>
  <c r="F580" i="16"/>
  <c r="I289" i="16"/>
  <c r="E289" i="16"/>
  <c r="I379" i="16"/>
  <c r="D379" i="16"/>
  <c r="H962" i="16"/>
  <c r="J962" i="16"/>
  <c r="I962" i="16"/>
  <c r="E962" i="16"/>
  <c r="G417" i="16"/>
  <c r="I1248" i="16"/>
  <c r="H1248" i="16"/>
  <c r="J1248" i="16"/>
  <c r="G977" i="16"/>
  <c r="D977" i="16"/>
  <c r="E977" i="16"/>
  <c r="I977" i="16"/>
  <c r="J977" i="16"/>
  <c r="H977" i="16"/>
  <c r="F1203" i="16"/>
  <c r="J1203" i="16"/>
  <c r="D1203" i="16"/>
  <c r="J801" i="16"/>
  <c r="I617" i="16"/>
  <c r="D801" i="16"/>
  <c r="F962" i="16"/>
  <c r="E281" i="16"/>
  <c r="F603" i="16"/>
  <c r="E603" i="16"/>
  <c r="J603" i="16"/>
  <c r="H851" i="16"/>
  <c r="J851" i="16"/>
  <c r="I851" i="16"/>
  <c r="D851" i="16"/>
  <c r="I828" i="16"/>
  <c r="H828" i="16"/>
  <c r="J927" i="16"/>
  <c r="F927" i="16"/>
  <c r="H512" i="16"/>
  <c r="J512" i="16"/>
  <c r="D512" i="16"/>
  <c r="I1180" i="16"/>
  <c r="H1180" i="16"/>
  <c r="J1082" i="16"/>
  <c r="F1082" i="16"/>
  <c r="E979" i="16"/>
  <c r="F979" i="16"/>
  <c r="G962" i="16"/>
  <c r="S959" i="16"/>
  <c r="F959" i="16" s="1"/>
  <c r="S951" i="16"/>
  <c r="J951" i="16" s="1"/>
  <c r="S947" i="16"/>
  <c r="H947" i="16" s="1"/>
  <c r="S943" i="16"/>
  <c r="S876" i="16"/>
  <c r="J876" i="16" s="1"/>
  <c r="Y876" i="16"/>
  <c r="S865" i="16"/>
  <c r="E865" i="16" s="1"/>
  <c r="Y865" i="16"/>
  <c r="S849" i="16"/>
  <c r="G849" i="16" s="1"/>
  <c r="Y826" i="16"/>
  <c r="S826" i="16"/>
  <c r="J826" i="16" s="1"/>
  <c r="S815" i="16"/>
  <c r="D815" i="16" s="1"/>
  <c r="I811" i="16"/>
  <c r="E811" i="16"/>
  <c r="S807" i="16"/>
  <c r="G807" i="16" s="1"/>
  <c r="S803" i="16"/>
  <c r="G803" i="16" s="1"/>
  <c r="S799" i="16"/>
  <c r="J799" i="16" s="1"/>
  <c r="S787" i="16"/>
  <c r="G787" i="16" s="1"/>
  <c r="S783" i="16"/>
  <c r="S767" i="16"/>
  <c r="S763" i="16"/>
  <c r="F763" i="16" s="1"/>
  <c r="S759" i="16"/>
  <c r="G759" i="16" s="1"/>
  <c r="S751" i="16"/>
  <c r="S743" i="16"/>
  <c r="S739" i="16"/>
  <c r="F739" i="16" s="1"/>
  <c r="Y481" i="16"/>
  <c r="S481" i="16"/>
  <c r="I481" i="16" s="1"/>
  <c r="F469" i="16"/>
  <c r="E469" i="16"/>
  <c r="J465" i="16"/>
  <c r="E465" i="16"/>
  <c r="I465" i="16"/>
  <c r="Y443" i="16"/>
  <c r="S443" i="16"/>
  <c r="D443" i="16" s="1"/>
  <c r="S427" i="16"/>
  <c r="D427" i="16" s="1"/>
  <c r="S423" i="16"/>
  <c r="S415" i="16"/>
  <c r="S411" i="16"/>
  <c r="G411" i="16" s="1"/>
  <c r="Y411" i="16"/>
  <c r="S407" i="16"/>
  <c r="H407" i="16" s="1"/>
  <c r="H403" i="16"/>
  <c r="F403" i="16"/>
  <c r="D403" i="16"/>
  <c r="I403" i="16"/>
  <c r="S391" i="16"/>
  <c r="G391" i="16" s="1"/>
  <c r="Y387" i="16"/>
  <c r="S387" i="16"/>
  <c r="F387" i="16" s="1"/>
  <c r="S380" i="16"/>
  <c r="I380" i="16" s="1"/>
  <c r="J376" i="16"/>
  <c r="D376" i="16"/>
  <c r="Y346" i="16"/>
  <c r="S335" i="16"/>
  <c r="G335" i="16" s="1"/>
  <c r="S327" i="16"/>
  <c r="D327" i="16" s="1"/>
  <c r="Y323" i="16"/>
  <c r="S323" i="16"/>
  <c r="E319" i="16"/>
  <c r="H319" i="16"/>
  <c r="S307" i="16"/>
  <c r="F307" i="16" s="1"/>
  <c r="Y307" i="16"/>
  <c r="Y299" i="16"/>
  <c r="S299" i="16"/>
  <c r="I295" i="16"/>
  <c r="F295" i="16"/>
  <c r="S265" i="16"/>
  <c r="H265" i="16" s="1"/>
  <c r="Y265" i="16"/>
  <c r="H1282" i="16"/>
  <c r="E1282" i="16"/>
  <c r="I399" i="16"/>
  <c r="D765" i="16"/>
  <c r="F695" i="16"/>
  <c r="F281" i="16"/>
  <c r="H780" i="16"/>
  <c r="E780" i="16"/>
  <c r="E801" i="16"/>
  <c r="J361" i="16"/>
  <c r="D962" i="16"/>
  <c r="S791" i="16"/>
  <c r="G791" i="16" s="1"/>
  <c r="G906" i="16"/>
  <c r="J906" i="16"/>
  <c r="F906" i="16"/>
  <c r="E906" i="16"/>
  <c r="F1259" i="16"/>
  <c r="I1259" i="16"/>
  <c r="D1259" i="16"/>
  <c r="H1259" i="16"/>
  <c r="G1259" i="16"/>
  <c r="Y427" i="16"/>
  <c r="F404" i="16"/>
  <c r="I404" i="16"/>
  <c r="E404" i="16"/>
  <c r="E460" i="16"/>
  <c r="G460" i="16"/>
  <c r="F480" i="16"/>
  <c r="H480" i="16"/>
  <c r="G480" i="16"/>
  <c r="J480" i="16"/>
  <c r="E480" i="16"/>
  <c r="G1025" i="16"/>
  <c r="J1025" i="16"/>
  <c r="D1025" i="16"/>
  <c r="I1025" i="16"/>
  <c r="F977" i="16"/>
  <c r="I480" i="16"/>
  <c r="F319" i="16"/>
  <c r="H361" i="16"/>
  <c r="I361" i="16"/>
  <c r="J313" i="16"/>
  <c r="F1025" i="16"/>
  <c r="D828" i="16"/>
  <c r="Y331" i="16"/>
  <c r="J1259" i="16"/>
  <c r="I603" i="16"/>
  <c r="F431" i="16"/>
  <c r="G793" i="16"/>
  <c r="J793" i="16"/>
  <c r="D793" i="16"/>
  <c r="J378" i="16"/>
  <c r="D378" i="16"/>
  <c r="J595" i="16"/>
  <c r="I595" i="16"/>
  <c r="E595" i="16"/>
  <c r="G852" i="16"/>
  <c r="I793" i="16"/>
  <c r="G595" i="16"/>
  <c r="H283" i="16"/>
  <c r="D283" i="16"/>
  <c r="H935" i="16"/>
  <c r="F305" i="16"/>
  <c r="D305" i="16"/>
  <c r="I305" i="16"/>
  <c r="J708" i="16"/>
  <c r="D708" i="16"/>
  <c r="I708" i="16"/>
  <c r="D546" i="16"/>
  <c r="I546" i="16"/>
  <c r="G523" i="16"/>
  <c r="I728" i="16"/>
  <c r="E764" i="16"/>
  <c r="I764" i="16"/>
  <c r="J836" i="16"/>
  <c r="E836" i="16"/>
  <c r="J280" i="16"/>
  <c r="I280" i="16"/>
  <c r="D280" i="16"/>
  <c r="H625" i="16"/>
  <c r="E522" i="16"/>
  <c r="D522" i="16"/>
  <c r="I522" i="16"/>
  <c r="J1085" i="16"/>
  <c r="G1085" i="16"/>
  <c r="H1113" i="16"/>
  <c r="Y1082" i="16"/>
  <c r="Y380" i="16"/>
  <c r="Y376" i="16"/>
  <c r="Y269" i="16"/>
  <c r="J1211" i="16"/>
  <c r="D1211" i="16"/>
  <c r="F1211" i="16"/>
  <c r="Y1089" i="16"/>
  <c r="Y1065" i="16"/>
  <c r="S1065" i="16"/>
  <c r="I1053" i="16"/>
  <c r="E1053" i="16"/>
  <c r="S911" i="16"/>
  <c r="G911" i="16" s="1"/>
  <c r="S879" i="16"/>
  <c r="S511" i="16"/>
  <c r="I511" i="16" s="1"/>
  <c r="E495" i="16"/>
  <c r="J495" i="16"/>
  <c r="F495" i="16"/>
  <c r="D495" i="16"/>
  <c r="H495" i="16"/>
  <c r="S330" i="16"/>
  <c r="G330" i="16" s="1"/>
  <c r="S287" i="16"/>
  <c r="E287" i="16" s="1"/>
  <c r="S260" i="16"/>
  <c r="H260" i="16" s="1"/>
  <c r="E314" i="16"/>
  <c r="G314" i="16"/>
  <c r="J1155" i="16"/>
  <c r="F1155" i="16"/>
  <c r="H539" i="16"/>
  <c r="E539" i="16"/>
  <c r="I393" i="16"/>
  <c r="G1245" i="16"/>
  <c r="H1245" i="16"/>
  <c r="E479" i="16"/>
  <c r="H479" i="16"/>
  <c r="J412" i="16"/>
  <c r="F1275" i="16"/>
  <c r="E1275" i="16"/>
  <c r="H601" i="16"/>
  <c r="G1155" i="16"/>
  <c r="J1245" i="16"/>
  <c r="H1275" i="16"/>
  <c r="I716" i="16"/>
  <c r="E716" i="16"/>
  <c r="G716" i="16"/>
  <c r="E1098" i="16"/>
  <c r="D314" i="16"/>
  <c r="D889" i="16"/>
  <c r="I683" i="16"/>
  <c r="D539" i="16"/>
  <c r="G372" i="16"/>
  <c r="I479" i="16"/>
  <c r="G553" i="16"/>
  <c r="F553" i="16"/>
  <c r="G1093" i="16"/>
  <c r="F1093" i="16"/>
  <c r="J736" i="16"/>
  <c r="E825" i="16"/>
  <c r="I825" i="16"/>
  <c r="G825" i="16"/>
  <c r="G1021" i="16"/>
  <c r="H1021" i="16"/>
  <c r="Y1285" i="16"/>
  <c r="Y1227" i="16"/>
  <c r="Y982" i="16"/>
  <c r="Y485" i="16"/>
  <c r="S1284" i="16"/>
  <c r="J1284" i="16" s="1"/>
  <c r="Y1274" i="16"/>
  <c r="S1170" i="16"/>
  <c r="G1170" i="16" s="1"/>
  <c r="S1072" i="16"/>
  <c r="D1072" i="16" s="1"/>
  <c r="Y572" i="16"/>
  <c r="S549" i="16"/>
  <c r="S530" i="16"/>
  <c r="Y530" i="16"/>
  <c r="Y393" i="16"/>
  <c r="Y267" i="16"/>
  <c r="S263" i="16"/>
  <c r="D263" i="16" s="1"/>
  <c r="Y1033" i="16"/>
  <c r="Y1021" i="16"/>
  <c r="Y1017" i="16"/>
  <c r="Y755" i="16"/>
  <c r="Y345" i="16"/>
  <c r="Y264" i="16"/>
  <c r="Y1075" i="16"/>
  <c r="S1075" i="16"/>
  <c r="G1075" i="16" s="1"/>
  <c r="Y1194" i="16"/>
  <c r="Y1190" i="16"/>
  <c r="Y1186" i="16"/>
  <c r="Y1155" i="16"/>
  <c r="Y1147" i="16"/>
  <c r="Y979" i="16"/>
  <c r="Y971" i="16"/>
  <c r="Y962" i="16"/>
  <c r="Y868" i="16"/>
  <c r="Y841" i="16"/>
  <c r="Y739" i="16"/>
  <c r="Y669" i="16"/>
  <c r="Y665" i="16"/>
  <c r="Y657" i="16"/>
  <c r="Y649" i="16"/>
  <c r="Y629" i="16"/>
  <c r="Y429" i="16"/>
  <c r="Y425" i="16"/>
  <c r="Y417" i="16"/>
  <c r="Y338" i="16"/>
  <c r="Y284" i="16"/>
  <c r="Y276" i="16"/>
  <c r="Y960" i="16"/>
  <c r="G912" i="16"/>
  <c r="Y892" i="16"/>
  <c r="Y888" i="16"/>
  <c r="Y600" i="16"/>
  <c r="Y593" i="16"/>
  <c r="Y585" i="16"/>
  <c r="Y536" i="16"/>
  <c r="Y1275" i="16"/>
  <c r="Y843" i="16"/>
  <c r="Y803" i="16"/>
  <c r="Y800" i="16"/>
  <c r="Y792" i="16"/>
  <c r="Y737" i="16"/>
  <c r="Y680" i="16"/>
  <c r="Y676" i="16"/>
  <c r="Y672" i="16"/>
  <c r="Y668" i="16"/>
  <c r="Y664" i="16"/>
  <c r="Y652" i="16"/>
  <c r="Y617" i="16"/>
  <c r="Y522" i="16"/>
  <c r="Y515" i="16"/>
  <c r="Y456" i="16"/>
  <c r="Y317" i="16"/>
  <c r="Y313" i="16"/>
  <c r="Y305" i="16"/>
  <c r="Y290" i="16"/>
  <c r="Y1253" i="16"/>
  <c r="Y1249" i="16"/>
  <c r="Y1225" i="16"/>
  <c r="Y1173" i="16"/>
  <c r="Y1161" i="16"/>
  <c r="Y1137" i="16"/>
  <c r="Y954" i="16"/>
  <c r="Y914" i="16"/>
  <c r="Y890" i="16"/>
  <c r="Y864" i="16"/>
  <c r="Y754" i="16"/>
  <c r="Y689" i="16"/>
  <c r="Y635" i="16"/>
  <c r="Y1074" i="16"/>
  <c r="Y1052" i="16"/>
  <c r="Y764" i="16"/>
  <c r="Y744" i="16"/>
  <c r="Y508" i="16"/>
  <c r="Y480" i="16"/>
  <c r="Y464" i="16"/>
  <c r="Y379" i="16"/>
  <c r="Y291" i="16"/>
  <c r="D880" i="16"/>
  <c r="E880" i="16"/>
  <c r="F1242" i="16"/>
  <c r="H1242" i="16"/>
  <c r="J1242" i="16"/>
  <c r="H1002" i="16"/>
  <c r="D1002" i="16"/>
  <c r="H777" i="16"/>
  <c r="D777" i="16"/>
  <c r="F777" i="16"/>
  <c r="E777" i="16"/>
  <c r="I777" i="16"/>
  <c r="I581" i="16"/>
  <c r="D581" i="16"/>
  <c r="E548" i="16"/>
  <c r="F548" i="16"/>
  <c r="H548" i="16"/>
  <c r="J548" i="16"/>
  <c r="D548" i="16"/>
  <c r="I548" i="16"/>
  <c r="D989" i="16"/>
  <c r="E989" i="16"/>
  <c r="J989" i="16"/>
  <c r="D615" i="16"/>
  <c r="J930" i="16"/>
  <c r="J1076" i="16"/>
  <c r="E1076" i="16"/>
  <c r="E527" i="16"/>
  <c r="I651" i="16"/>
  <c r="H651" i="16"/>
  <c r="G1258" i="16"/>
  <c r="H1258" i="16"/>
  <c r="G671" i="16"/>
  <c r="F671" i="16"/>
  <c r="J671" i="16"/>
  <c r="H1257" i="16"/>
  <c r="E1161" i="16"/>
  <c r="H1161" i="16"/>
  <c r="F810" i="16"/>
  <c r="G1196" i="16"/>
  <c r="E1196" i="16"/>
  <c r="I1196" i="16"/>
  <c r="J1196" i="16"/>
  <c r="F593" i="16"/>
  <c r="H593" i="16"/>
  <c r="E927" i="16"/>
  <c r="H927" i="16"/>
  <c r="G290" i="16"/>
  <c r="D290" i="16"/>
  <c r="H290" i="16"/>
  <c r="I897" i="16"/>
  <c r="H897" i="16"/>
  <c r="E897" i="16"/>
  <c r="J997" i="16"/>
  <c r="H997" i="16"/>
  <c r="F997" i="16"/>
  <c r="G1269" i="16"/>
  <c r="D1269" i="16"/>
  <c r="S1195" i="16"/>
  <c r="Y1195" i="16"/>
  <c r="S1179" i="16"/>
  <c r="S1040" i="16"/>
  <c r="G1040" i="16" s="1"/>
  <c r="Y972" i="16"/>
  <c r="S972" i="16"/>
  <c r="S968" i="16"/>
  <c r="E948" i="16"/>
  <c r="J948" i="16"/>
  <c r="Y944" i="16"/>
  <c r="Y884" i="16"/>
  <c r="S884" i="16"/>
  <c r="J884" i="16" s="1"/>
  <c r="Y873" i="16"/>
  <c r="Y858" i="16"/>
  <c r="S858" i="16"/>
  <c r="S731" i="16"/>
  <c r="Y731" i="16"/>
  <c r="F784" i="16"/>
  <c r="Y1179" i="16"/>
  <c r="Y720" i="16"/>
  <c r="D1161" i="16"/>
  <c r="E963" i="16"/>
  <c r="E930" i="16"/>
  <c r="D927" i="16"/>
  <c r="I610" i="16"/>
  <c r="F610" i="16"/>
  <c r="G610" i="16"/>
  <c r="E276" i="16"/>
  <c r="D1188" i="16"/>
  <c r="Y912" i="16"/>
  <c r="H703" i="16"/>
  <c r="G703" i="16"/>
  <c r="G844" i="16"/>
  <c r="D844" i="16"/>
  <c r="S1171" i="16"/>
  <c r="G1171" i="16" s="1"/>
  <c r="H469" i="16"/>
  <c r="J585" i="16"/>
  <c r="G1076" i="16"/>
  <c r="J321" i="16"/>
  <c r="D651" i="16"/>
  <c r="G989" i="16"/>
  <c r="E671" i="16"/>
  <c r="H671" i="16"/>
  <c r="D360" i="16"/>
  <c r="J593" i="16"/>
  <c r="D888" i="16"/>
  <c r="D997" i="16"/>
  <c r="I1061" i="16"/>
  <c r="H1076" i="16"/>
  <c r="G570" i="16"/>
  <c r="J1116" i="16"/>
  <c r="F1116" i="16"/>
  <c r="S960" i="16"/>
  <c r="I672" i="16"/>
  <c r="G672" i="16"/>
  <c r="H672" i="16"/>
  <c r="J386" i="16"/>
  <c r="E386" i="16"/>
  <c r="F386" i="16"/>
  <c r="I367" i="16"/>
  <c r="I1141" i="16"/>
  <c r="J889" i="16"/>
  <c r="I889" i="16"/>
  <c r="G889" i="16"/>
  <c r="J732" i="16"/>
  <c r="H732" i="16"/>
  <c r="G465" i="16"/>
  <c r="H465" i="16"/>
  <c r="F536" i="16"/>
  <c r="E536" i="16"/>
  <c r="I785" i="16"/>
  <c r="J785" i="16"/>
  <c r="D785" i="16"/>
  <c r="I439" i="16"/>
  <c r="D439" i="16"/>
  <c r="H439" i="16"/>
  <c r="I463" i="16"/>
  <c r="J463" i="16"/>
  <c r="G463" i="16"/>
  <c r="I1066" i="16"/>
  <c r="E1066" i="16"/>
  <c r="H984" i="16"/>
  <c r="G984" i="16"/>
  <c r="E984" i="16"/>
  <c r="S944" i="16"/>
  <c r="S873" i="16"/>
  <c r="D873" i="16" s="1"/>
  <c r="E1203" i="16"/>
  <c r="G1203" i="16"/>
  <c r="H1203" i="16"/>
  <c r="Y817" i="16"/>
  <c r="Y1222" i="16"/>
  <c r="S1218" i="16"/>
  <c r="G1210" i="16"/>
  <c r="E1210" i="16"/>
  <c r="I1210" i="16"/>
  <c r="F1210" i="16"/>
  <c r="S1202" i="16"/>
  <c r="G1202" i="16" s="1"/>
  <c r="Y1158" i="16"/>
  <c r="S1158" i="16"/>
  <c r="H1158" i="16" s="1"/>
  <c r="S1123" i="16"/>
  <c r="F1123" i="16" s="1"/>
  <c r="S1115" i="16"/>
  <c r="Y1115" i="16"/>
  <c r="H1083" i="16"/>
  <c r="F1083" i="16"/>
  <c r="S1069" i="16"/>
  <c r="F1069" i="16" s="1"/>
  <c r="E1058" i="16"/>
  <c r="I1050" i="16"/>
  <c r="J1050" i="16"/>
  <c r="S1035" i="16"/>
  <c r="S1032" i="16"/>
  <c r="I1032" i="16" s="1"/>
  <c r="F1028" i="16"/>
  <c r="E1028" i="16"/>
  <c r="S990" i="16"/>
  <c r="H990" i="16" s="1"/>
  <c r="S986" i="16"/>
  <c r="Y986" i="16"/>
  <c r="S903" i="16"/>
  <c r="G903" i="16" s="1"/>
  <c r="S899" i="16"/>
  <c r="Y899" i="16"/>
  <c r="S808" i="16"/>
  <c r="Y808" i="16"/>
  <c r="Y804" i="16"/>
  <c r="S804" i="16"/>
  <c r="S769" i="16"/>
  <c r="G769" i="16" s="1"/>
  <c r="Y769" i="16"/>
  <c r="S746" i="16"/>
  <c r="H746" i="16" s="1"/>
  <c r="Y746" i="16"/>
  <c r="Y616" i="16"/>
  <c r="S616" i="16"/>
  <c r="S612" i="16"/>
  <c r="F612" i="16" s="1"/>
  <c r="Y612" i="16"/>
  <c r="S608" i="16"/>
  <c r="I608" i="16" s="1"/>
  <c r="Y608" i="16"/>
  <c r="Y604" i="16"/>
  <c r="S604" i="16"/>
  <c r="G604" i="16" s="1"/>
  <c r="S578" i="16"/>
  <c r="S571" i="16"/>
  <c r="Y563" i="16"/>
  <c r="S563" i="16"/>
  <c r="S544" i="16"/>
  <c r="E544" i="16" s="1"/>
  <c r="S300" i="16"/>
  <c r="F300" i="16" s="1"/>
  <c r="Y300" i="16"/>
  <c r="S293" i="16"/>
  <c r="G293" i="16" s="1"/>
  <c r="Y293" i="16"/>
  <c r="S268" i="16"/>
  <c r="J268" i="16" s="1"/>
  <c r="Y268" i="16"/>
  <c r="G264" i="16"/>
  <c r="J264" i="16"/>
  <c r="F966" i="16"/>
  <c r="J966" i="16"/>
  <c r="J500" i="16"/>
  <c r="J929" i="16"/>
  <c r="G1243" i="16"/>
  <c r="E610" i="16"/>
  <c r="J1243" i="16"/>
  <c r="D834" i="16"/>
  <c r="H852" i="16"/>
  <c r="J570" i="16"/>
  <c r="J439" i="16"/>
  <c r="E755" i="16"/>
  <c r="G1002" i="16"/>
  <c r="D1028" i="16"/>
  <c r="G276" i="16"/>
  <c r="G444" i="16"/>
  <c r="D345" i="16"/>
  <c r="H1028" i="16"/>
  <c r="I927" i="16"/>
  <c r="S555" i="16"/>
  <c r="D555" i="16" s="1"/>
  <c r="S575" i="16"/>
  <c r="I276" i="16"/>
  <c r="I744" i="16"/>
  <c r="E912" i="16"/>
  <c r="D1287" i="16"/>
  <c r="I1287" i="16"/>
  <c r="G336" i="16"/>
  <c r="J336" i="16"/>
  <c r="H912" i="16"/>
  <c r="Y1020" i="16"/>
  <c r="E666" i="16"/>
  <c r="Y866" i="16"/>
  <c r="D952" i="16"/>
  <c r="D275" i="16"/>
  <c r="G1116" i="16"/>
  <c r="H615" i="16"/>
  <c r="E585" i="16"/>
  <c r="F1076" i="16"/>
  <c r="F1050" i="16"/>
  <c r="G1050" i="16"/>
  <c r="D386" i="16"/>
  <c r="F672" i="16"/>
  <c r="J651" i="16"/>
  <c r="I376" i="16"/>
  <c r="D1141" i="16"/>
  <c r="G665" i="16"/>
  <c r="D671" i="16"/>
  <c r="F889" i="16"/>
  <c r="E1083" i="16"/>
  <c r="D465" i="16"/>
  <c r="G548" i="16"/>
  <c r="I755" i="16"/>
  <c r="J1066" i="16"/>
  <c r="J1083" i="16"/>
  <c r="F463" i="16"/>
  <c r="I593" i="16"/>
  <c r="H785" i="16"/>
  <c r="F888" i="16"/>
  <c r="D1210" i="16"/>
  <c r="E439" i="16"/>
  <c r="F618" i="16"/>
  <c r="E570" i="16"/>
  <c r="E701" i="16"/>
  <c r="D1286" i="16"/>
  <c r="E1013" i="16"/>
  <c r="I290" i="16"/>
  <c r="G966" i="16"/>
  <c r="I618" i="16"/>
  <c r="D948" i="16"/>
  <c r="D1060" i="16"/>
  <c r="E1060" i="16"/>
  <c r="G1060" i="16"/>
  <c r="H1253" i="16"/>
  <c r="E379" i="16"/>
  <c r="H379" i="16"/>
  <c r="G379" i="16"/>
  <c r="G1098" i="16"/>
  <c r="F1098" i="16"/>
  <c r="I1098" i="16"/>
  <c r="S754" i="16"/>
  <c r="F847" i="16"/>
  <c r="I1073" i="16"/>
  <c r="E1073" i="16"/>
  <c r="E291" i="16"/>
  <c r="D291" i="16"/>
  <c r="F684" i="16"/>
  <c r="H684" i="16"/>
  <c r="I539" i="16"/>
  <c r="G539" i="16"/>
  <c r="G519" i="16"/>
  <c r="J519" i="16"/>
  <c r="J528" i="16"/>
  <c r="I528" i="16"/>
  <c r="D706" i="16"/>
  <c r="J706" i="16"/>
  <c r="E914" i="16"/>
  <c r="H914" i="16"/>
  <c r="S1107" i="16"/>
  <c r="J1107" i="16" s="1"/>
  <c r="Y952" i="16"/>
  <c r="S976" i="16"/>
  <c r="J976" i="16" s="1"/>
  <c r="D404" i="16"/>
  <c r="H404" i="16"/>
  <c r="G404" i="16"/>
  <c r="J404" i="16"/>
  <c r="D456" i="16"/>
  <c r="F456" i="16"/>
  <c r="G456" i="16"/>
  <c r="F586" i="16"/>
  <c r="G586" i="16"/>
  <c r="H586" i="16"/>
  <c r="J538" i="16"/>
  <c r="H538" i="16"/>
  <c r="S762" i="16"/>
  <c r="E982" i="16"/>
  <c r="I627" i="16"/>
  <c r="H627" i="16"/>
  <c r="Y1282" i="16"/>
  <c r="D1085" i="16"/>
  <c r="H1085" i="16"/>
  <c r="H1213" i="16"/>
  <c r="F1213" i="16"/>
  <c r="D1213" i="16"/>
  <c r="G676" i="16"/>
  <c r="D676" i="16"/>
  <c r="E676" i="16"/>
  <c r="G568" i="16"/>
  <c r="J568" i="16"/>
  <c r="Y923" i="16"/>
  <c r="I1027" i="16"/>
  <c r="F1027" i="16"/>
  <c r="H1027" i="16"/>
  <c r="Y1235" i="16"/>
  <c r="Y812" i="16"/>
  <c r="Y1210" i="16"/>
  <c r="Y555" i="16"/>
  <c r="G1257" i="16"/>
  <c r="I1122" i="16"/>
  <c r="H1122" i="16"/>
  <c r="D1122" i="16"/>
  <c r="J1122" i="16"/>
  <c r="I659" i="16"/>
  <c r="J659" i="16"/>
  <c r="G376" i="16"/>
  <c r="I352" i="16"/>
  <c r="H352" i="16"/>
  <c r="G921" i="16"/>
  <c r="H929" i="16"/>
  <c r="H752" i="16"/>
  <c r="E1287" i="16"/>
  <c r="H610" i="16"/>
  <c r="I844" i="16"/>
  <c r="I834" i="16"/>
  <c r="E992" i="16"/>
  <c r="D319" i="16"/>
  <c r="G303" i="16"/>
  <c r="D570" i="16"/>
  <c r="G625" i="16"/>
  <c r="E732" i="16"/>
  <c r="G927" i="16"/>
  <c r="D586" i="16"/>
  <c r="G605" i="16"/>
  <c r="J267" i="16"/>
  <c r="I615" i="16"/>
  <c r="D915" i="16"/>
  <c r="E586" i="16"/>
  <c r="H706" i="16"/>
  <c r="H276" i="16"/>
  <c r="E528" i="16"/>
  <c r="G528" i="16"/>
  <c r="D744" i="16"/>
  <c r="I984" i="16"/>
  <c r="I912" i="16"/>
  <c r="F1253" i="16"/>
  <c r="G684" i="16"/>
  <c r="I444" i="16"/>
  <c r="I377" i="16"/>
  <c r="Y738" i="16"/>
  <c r="E952" i="16"/>
  <c r="H367" i="16"/>
  <c r="S1092" i="16"/>
  <c r="I1116" i="16"/>
  <c r="E620" i="16"/>
  <c r="I1076" i="16"/>
  <c r="E487" i="16"/>
  <c r="E321" i="16"/>
  <c r="H1060" i="16"/>
  <c r="H1050" i="16"/>
  <c r="I267" i="16"/>
  <c r="J847" i="16"/>
  <c r="F396" i="16"/>
  <c r="D1098" i="16"/>
  <c r="E367" i="16"/>
  <c r="H506" i="16"/>
  <c r="F651" i="16"/>
  <c r="E1037" i="16"/>
  <c r="H989" i="16"/>
  <c r="H386" i="16"/>
  <c r="F1073" i="16"/>
  <c r="E665" i="16"/>
  <c r="G1053" i="16"/>
  <c r="I1083" i="16"/>
  <c r="H514" i="16"/>
  <c r="E889" i="16"/>
  <c r="F465" i="16"/>
  <c r="D914" i="16"/>
  <c r="F659" i="16"/>
  <c r="F291" i="16"/>
  <c r="I519" i="16"/>
  <c r="F378" i="16"/>
  <c r="J1257" i="16"/>
  <c r="D1066" i="16"/>
  <c r="J1161" i="16"/>
  <c r="E463" i="16"/>
  <c r="J625" i="16"/>
  <c r="I586" i="16"/>
  <c r="H659" i="16"/>
  <c r="G785" i="16"/>
  <c r="E785" i="16"/>
  <c r="D659" i="16"/>
  <c r="H888" i="16"/>
  <c r="J1013" i="16"/>
  <c r="F1122" i="16"/>
  <c r="H1210" i="16"/>
  <c r="D719" i="16"/>
  <c r="J1210" i="16"/>
  <c r="J316" i="16"/>
  <c r="I701" i="16"/>
  <c r="F1286" i="16"/>
  <c r="F290" i="16"/>
  <c r="E364" i="16"/>
  <c r="G439" i="16"/>
  <c r="G291" i="16"/>
  <c r="I1112" i="16"/>
  <c r="H966" i="16"/>
  <c r="J618" i="16"/>
  <c r="H921" i="16"/>
  <c r="J364" i="16"/>
  <c r="D1027" i="16"/>
  <c r="F676" i="16"/>
  <c r="F929" i="16"/>
  <c r="F785" i="16"/>
  <c r="F1234" i="16"/>
  <c r="G1234" i="16"/>
  <c r="G1028" i="16"/>
  <c r="I827" i="16"/>
  <c r="F827" i="16"/>
  <c r="S600" i="16"/>
  <c r="J600" i="16" s="1"/>
  <c r="F932" i="16"/>
  <c r="G932" i="16"/>
  <c r="D932" i="16"/>
  <c r="F609" i="16"/>
  <c r="I609" i="16"/>
  <c r="F389" i="16"/>
  <c r="G389" i="16"/>
  <c r="G764" i="16"/>
  <c r="F764" i="16"/>
  <c r="D764" i="16"/>
  <c r="E648" i="16"/>
  <c r="D648" i="16"/>
  <c r="F648" i="16"/>
  <c r="D705" i="16"/>
  <c r="J705" i="16"/>
  <c r="Y816" i="16"/>
  <c r="E552" i="16"/>
  <c r="I552" i="16"/>
  <c r="E403" i="16"/>
  <c r="J403" i="16"/>
  <c r="G557" i="16"/>
  <c r="I557" i="16"/>
  <c r="S1154" i="16"/>
  <c r="G1154" i="16" s="1"/>
  <c r="S892" i="16"/>
  <c r="I521" i="16"/>
  <c r="G521" i="16"/>
  <c r="J521" i="16"/>
  <c r="H521" i="16"/>
  <c r="E1088" i="16"/>
  <c r="I1088" i="16"/>
  <c r="F1088" i="16"/>
  <c r="Y1013" i="16"/>
  <c r="S727" i="16"/>
  <c r="G1109" i="16"/>
  <c r="E561" i="16"/>
  <c r="J561" i="16"/>
  <c r="D993" i="16"/>
  <c r="J993" i="16"/>
  <c r="Y896" i="16"/>
  <c r="S923" i="16"/>
  <c r="D923" i="16" s="1"/>
  <c r="Y1123" i="16"/>
  <c r="Y1146" i="16"/>
  <c r="Y1138" i="16"/>
  <c r="Y1043" i="16"/>
  <c r="Y1035" i="16"/>
  <c r="Y994" i="16"/>
  <c r="Y931" i="16"/>
  <c r="Y907" i="16"/>
  <c r="Y869" i="16"/>
  <c r="S1189" i="16"/>
  <c r="F1189" i="16" s="1"/>
  <c r="Y1189" i="16"/>
  <c r="S1157" i="16"/>
  <c r="G1061" i="16"/>
  <c r="S936" i="16"/>
  <c r="J936" i="16" s="1"/>
  <c r="Y936" i="16"/>
  <c r="G929" i="16"/>
  <c r="Y875" i="16"/>
  <c r="S875" i="16"/>
  <c r="D875" i="16" s="1"/>
  <c r="S819" i="16"/>
  <c r="Y819" i="16"/>
  <c r="S655" i="16"/>
  <c r="J655" i="16" s="1"/>
  <c r="S447" i="16"/>
  <c r="Y435" i="16"/>
  <c r="S435" i="16"/>
  <c r="Y419" i="16"/>
  <c r="S419" i="16"/>
  <c r="G419" i="16" s="1"/>
  <c r="G403" i="16"/>
  <c r="F391" i="16"/>
  <c r="Y274" i="16"/>
  <c r="S274" i="16"/>
  <c r="E1229" i="16"/>
  <c r="H688" i="16"/>
  <c r="Y1265" i="16"/>
  <c r="J1068" i="16"/>
  <c r="G674" i="16"/>
  <c r="G1106" i="16"/>
  <c r="H370" i="16"/>
  <c r="E1265" i="16"/>
  <c r="J1265" i="16"/>
  <c r="G370" i="16"/>
  <c r="H289" i="16"/>
  <c r="F289" i="16"/>
  <c r="S311" i="16"/>
  <c r="G961" i="16"/>
  <c r="E961" i="16"/>
  <c r="H981" i="16"/>
  <c r="I348" i="16"/>
  <c r="G289" i="16"/>
  <c r="G1122" i="16"/>
  <c r="G1068" i="16"/>
  <c r="I647" i="16"/>
  <c r="G647" i="16"/>
  <c r="F1229" i="16"/>
  <c r="S1249" i="16"/>
  <c r="J1249" i="16" s="1"/>
  <c r="E1217" i="16"/>
  <c r="S1118" i="16"/>
  <c r="S1225" i="16"/>
  <c r="Y330" i="16"/>
  <c r="H1052" i="16"/>
  <c r="J1052" i="16"/>
  <c r="E1052" i="16"/>
  <c r="H507" i="16"/>
  <c r="J507" i="16"/>
  <c r="G507" i="16"/>
  <c r="I1113" i="16"/>
  <c r="J1113" i="16"/>
  <c r="J308" i="16"/>
  <c r="Y1057" i="16"/>
  <c r="Y1166" i="16"/>
  <c r="Y1162" i="16"/>
  <c r="Y849" i="16"/>
  <c r="Y714" i="16"/>
  <c r="Y706" i="16"/>
  <c r="Y624" i="16"/>
  <c r="Y589" i="16"/>
  <c r="Y581" i="16"/>
  <c r="Y548" i="16"/>
  <c r="Y544" i="16"/>
  <c r="S1216" i="16"/>
  <c r="S802" i="16"/>
  <c r="D802" i="16" s="1"/>
  <c r="Y802" i="16"/>
  <c r="Y740" i="16"/>
  <c r="S740" i="16"/>
  <c r="Y472" i="16"/>
  <c r="S472" i="16"/>
  <c r="J472" i="16" s="1"/>
  <c r="Y1257" i="16"/>
  <c r="Y1242" i="16"/>
  <c r="Y963" i="16"/>
  <c r="Y781" i="16"/>
  <c r="Y777" i="16"/>
  <c r="Y529" i="16"/>
  <c r="Y460" i="16"/>
  <c r="Y403" i="16"/>
  <c r="Y260" i="16"/>
  <c r="S857" i="16"/>
  <c r="D857" i="16" s="1"/>
  <c r="Y857" i="16"/>
  <c r="Y1286" i="16"/>
  <c r="Y1278" i="16"/>
  <c r="Y1229" i="16"/>
  <c r="Y1218" i="16"/>
  <c r="Y1211" i="16"/>
  <c r="Y1203" i="16"/>
  <c r="Y1180" i="16"/>
  <c r="Y1157" i="16"/>
  <c r="Y1153" i="16"/>
  <c r="Y1149" i="16"/>
  <c r="Y1145" i="16"/>
  <c r="Y1141" i="16"/>
  <c r="Y1133" i="16"/>
  <c r="Y1129" i="16"/>
  <c r="Y1122" i="16"/>
  <c r="Y1068" i="16"/>
  <c r="Y1030" i="16"/>
  <c r="Y1022" i="16"/>
  <c r="Y1004" i="16"/>
  <c r="Y996" i="16"/>
  <c r="Y985" i="16"/>
  <c r="Y977" i="16"/>
  <c r="Y969" i="16"/>
  <c r="Y964" i="16"/>
  <c r="Y933" i="16"/>
  <c r="Y929" i="16"/>
  <c r="Y921" i="16"/>
  <c r="Y917" i="16"/>
  <c r="Y913" i="16"/>
  <c r="Y905" i="16"/>
  <c r="Y898" i="16"/>
  <c r="Y883" i="16"/>
  <c r="Y880" i="16"/>
  <c r="Y674" i="16"/>
  <c r="Y576" i="16"/>
  <c r="Y473" i="16"/>
  <c r="Y465" i="16"/>
  <c r="Y409" i="16"/>
  <c r="Y401" i="16"/>
  <c r="Y397" i="16"/>
  <c r="Y386" i="16"/>
  <c r="Y282" i="16"/>
  <c r="E466" i="16"/>
  <c r="F466" i="16"/>
  <c r="D466" i="16"/>
  <c r="H275" i="16"/>
  <c r="F275" i="16"/>
  <c r="E275" i="16"/>
  <c r="I275" i="16"/>
  <c r="G275" i="16"/>
  <c r="G1232" i="16"/>
  <c r="F1232" i="16"/>
  <c r="H1232" i="16"/>
  <c r="E1232" i="16"/>
  <c r="D1232" i="16"/>
  <c r="H284" i="16"/>
  <c r="J284" i="16"/>
  <c r="I284" i="16"/>
  <c r="E284" i="16"/>
  <c r="F284" i="16"/>
  <c r="J1022" i="16"/>
  <c r="G1022" i="16"/>
  <c r="D1022" i="16"/>
  <c r="E1022" i="16"/>
  <c r="F1022" i="16"/>
  <c r="J885" i="16"/>
  <c r="D643" i="16"/>
  <c r="H643" i="16"/>
  <c r="I643" i="16"/>
  <c r="J643" i="16"/>
  <c r="G643" i="16"/>
  <c r="F643" i="16"/>
  <c r="F385" i="16"/>
  <c r="J385" i="16"/>
  <c r="H385" i="16"/>
  <c r="G385" i="16"/>
  <c r="H611" i="16"/>
  <c r="I611" i="16"/>
  <c r="F611" i="16"/>
  <c r="J611" i="16"/>
  <c r="D611" i="16"/>
  <c r="E611" i="16"/>
  <c r="J843" i="16"/>
  <c r="H843" i="16"/>
  <c r="D843" i="16"/>
  <c r="F843" i="16"/>
  <c r="J466" i="16"/>
  <c r="I1022" i="16"/>
  <c r="F703" i="16"/>
  <c r="E703" i="16"/>
  <c r="D703" i="16"/>
  <c r="I703" i="16"/>
  <c r="J711" i="16"/>
  <c r="D711" i="16"/>
  <c r="E711" i="16"/>
  <c r="G711" i="16"/>
  <c r="I711" i="16"/>
  <c r="J1232" i="16"/>
  <c r="I730" i="16"/>
  <c r="F730" i="16"/>
  <c r="G1176" i="16"/>
  <c r="I1176" i="16"/>
  <c r="H1176" i="16"/>
  <c r="J1176" i="16"/>
  <c r="D1176" i="16"/>
  <c r="F1176" i="16"/>
  <c r="E1176" i="16"/>
  <c r="G448" i="16"/>
  <c r="I448" i="16"/>
  <c r="E448" i="16"/>
  <c r="D448" i="16"/>
  <c r="F448" i="16"/>
  <c r="G468" i="16"/>
  <c r="J468" i="16"/>
  <c r="I468" i="16"/>
  <c r="E468" i="16"/>
  <c r="F468" i="16"/>
  <c r="E957" i="16"/>
  <c r="J957" i="16"/>
  <c r="G957" i="16"/>
  <c r="H957" i="16"/>
  <c r="F957" i="16"/>
  <c r="I957" i="16"/>
  <c r="F971" i="16"/>
  <c r="E1251" i="16"/>
  <c r="J1251" i="16"/>
  <c r="I1251" i="16"/>
  <c r="G1251" i="16"/>
  <c r="F1251" i="16"/>
  <c r="H1251" i="16"/>
  <c r="D1251" i="16"/>
  <c r="D863" i="16"/>
  <c r="H863" i="16"/>
  <c r="G863" i="16"/>
  <c r="F1250" i="16"/>
  <c r="G1250" i="16"/>
  <c r="D1250" i="16"/>
  <c r="I1250" i="16"/>
  <c r="J1250" i="16"/>
  <c r="J1106" i="16"/>
  <c r="E1106" i="16"/>
  <c r="H1106" i="16"/>
  <c r="F1106" i="16"/>
  <c r="I1106" i="16"/>
  <c r="I1075" i="16"/>
  <c r="I1043" i="16"/>
  <c r="G1043" i="16"/>
  <c r="F1043" i="16"/>
  <c r="H1043" i="16"/>
  <c r="E1043" i="16"/>
  <c r="G985" i="16"/>
  <c r="J985" i="16"/>
  <c r="E985" i="16"/>
  <c r="D985" i="16"/>
  <c r="J979" i="16"/>
  <c r="G979" i="16"/>
  <c r="H979" i="16"/>
  <c r="I979" i="16"/>
  <c r="D979" i="16"/>
  <c r="G909" i="16"/>
  <c r="D909" i="16"/>
  <c r="J898" i="16"/>
  <c r="I898" i="16"/>
  <c r="E898" i="16"/>
  <c r="F898" i="16"/>
  <c r="H898" i="16"/>
  <c r="H887" i="16"/>
  <c r="G887" i="16"/>
  <c r="I887" i="16"/>
  <c r="J887" i="16"/>
  <c r="E887" i="16"/>
  <c r="H856" i="16"/>
  <c r="F856" i="16"/>
  <c r="I856" i="16"/>
  <c r="J856" i="16"/>
  <c r="D856" i="16"/>
  <c r="E856" i="16"/>
  <c r="G856" i="16"/>
  <c r="I816" i="16"/>
  <c r="D816" i="16"/>
  <c r="F816" i="16"/>
  <c r="H816" i="16"/>
  <c r="E816" i="16"/>
  <c r="G816" i="16"/>
  <c r="J816" i="16"/>
  <c r="H809" i="16"/>
  <c r="D809" i="16"/>
  <c r="J809" i="16"/>
  <c r="I809" i="16"/>
  <c r="E809" i="16"/>
  <c r="G809" i="16"/>
  <c r="H794" i="16"/>
  <c r="F794" i="16"/>
  <c r="G794" i="16"/>
  <c r="J794" i="16"/>
  <c r="H761" i="16"/>
  <c r="D691" i="16"/>
  <c r="F691" i="16"/>
  <c r="G691" i="16"/>
  <c r="E691" i="16"/>
  <c r="I691" i="16"/>
  <c r="J688" i="16"/>
  <c r="D688" i="16"/>
  <c r="I688" i="16"/>
  <c r="G688" i="16"/>
  <c r="D681" i="16"/>
  <c r="J681" i="16"/>
  <c r="I681" i="16"/>
  <c r="D631" i="16"/>
  <c r="F631" i="16"/>
  <c r="E631" i="16"/>
  <c r="H533" i="16"/>
  <c r="D533" i="16"/>
  <c r="F533" i="16"/>
  <c r="E533" i="16"/>
  <c r="G533" i="16"/>
  <c r="I533" i="16"/>
  <c r="J533" i="16"/>
  <c r="D515" i="16"/>
  <c r="H515" i="16"/>
  <c r="F515" i="16"/>
  <c r="J515" i="16"/>
  <c r="G515" i="16"/>
  <c r="I515" i="16"/>
  <c r="E515" i="16"/>
  <c r="G483" i="16"/>
  <c r="I483" i="16"/>
  <c r="D483" i="16"/>
  <c r="F483" i="16"/>
  <c r="E483" i="16"/>
  <c r="J457" i="16"/>
  <c r="F457" i="16"/>
  <c r="E375" i="16"/>
  <c r="H375" i="16"/>
  <c r="J375" i="16"/>
  <c r="G375" i="16"/>
  <c r="F375" i="16"/>
  <c r="D361" i="16"/>
  <c r="G361" i="16"/>
  <c r="F361" i="16"/>
  <c r="E339" i="16"/>
  <c r="H339" i="16"/>
  <c r="F339" i="16"/>
  <c r="I339" i="16"/>
  <c r="D339" i="16"/>
  <c r="I269" i="16"/>
  <c r="E269" i="16"/>
  <c r="H269" i="16"/>
  <c r="D269" i="16"/>
  <c r="J269" i="16"/>
  <c r="F269" i="16"/>
  <c r="G269" i="16"/>
  <c r="F823" i="16"/>
  <c r="F1240" i="16"/>
  <c r="E1240" i="16"/>
  <c r="I695" i="16"/>
  <c r="J695" i="16"/>
  <c r="H617" i="16"/>
  <c r="D780" i="16"/>
  <c r="G780" i="16"/>
  <c r="I780" i="16"/>
  <c r="D992" i="16"/>
  <c r="F992" i="16"/>
  <c r="F416" i="16"/>
  <c r="I416" i="16"/>
  <c r="E1220" i="16"/>
  <c r="J1220" i="16"/>
  <c r="G1220" i="16"/>
  <c r="E632" i="16"/>
  <c r="I632" i="16"/>
  <c r="F632" i="16"/>
  <c r="G632" i="16"/>
  <c r="D1205" i="16"/>
  <c r="H1205" i="16"/>
  <c r="F1205" i="16"/>
  <c r="E1205" i="16"/>
  <c r="F963" i="16"/>
  <c r="H963" i="16"/>
  <c r="G963" i="16"/>
  <c r="D963" i="16"/>
  <c r="J1267" i="16"/>
  <c r="E1267" i="16"/>
  <c r="G1267" i="16"/>
  <c r="D1267" i="16"/>
  <c r="H1267" i="16"/>
  <c r="E938" i="16"/>
  <c r="D938" i="16"/>
  <c r="G938" i="16"/>
  <c r="H938" i="16"/>
  <c r="F938" i="16"/>
  <c r="J938" i="16"/>
  <c r="I938" i="16"/>
  <c r="D867" i="16"/>
  <c r="J867" i="16"/>
  <c r="I867" i="16"/>
  <c r="G867" i="16"/>
  <c r="F867" i="16"/>
  <c r="H867" i="16"/>
  <c r="E867" i="16"/>
  <c r="J735" i="16"/>
  <c r="H735" i="16"/>
  <c r="G660" i="16"/>
  <c r="F660" i="16"/>
  <c r="E660" i="16"/>
  <c r="J660" i="16"/>
  <c r="D660" i="16"/>
  <c r="I660" i="16"/>
  <c r="H660" i="16"/>
  <c r="J636" i="16"/>
  <c r="E636" i="16"/>
  <c r="I636" i="16"/>
  <c r="D636" i="16"/>
  <c r="F636" i="16"/>
  <c r="H636" i="16"/>
  <c r="G636" i="16"/>
  <c r="I628" i="16"/>
  <c r="F628" i="16"/>
  <c r="E628" i="16"/>
  <c r="E497" i="16"/>
  <c r="I497" i="16"/>
  <c r="D497" i="16"/>
  <c r="J497" i="16"/>
  <c r="F497" i="16"/>
  <c r="H497" i="16"/>
  <c r="G497" i="16"/>
  <c r="J455" i="16"/>
  <c r="G455" i="16"/>
  <c r="E455" i="16"/>
  <c r="H455" i="16"/>
  <c r="D455" i="16"/>
  <c r="H413" i="16"/>
  <c r="D413" i="16"/>
  <c r="I413" i="16"/>
  <c r="H383" i="16"/>
  <c r="G383" i="16"/>
  <c r="D383" i="16"/>
  <c r="F285" i="16"/>
  <c r="J285" i="16"/>
  <c r="G628" i="16"/>
  <c r="J1205" i="16"/>
  <c r="J359" i="16"/>
  <c r="E735" i="16"/>
  <c r="I697" i="16"/>
  <c r="F697" i="16"/>
  <c r="G697" i="16"/>
  <c r="I338" i="16"/>
  <c r="F946" i="16"/>
  <c r="G946" i="16"/>
  <c r="J946" i="16"/>
  <c r="E756" i="16"/>
  <c r="G756" i="16"/>
  <c r="F756" i="16"/>
  <c r="D756" i="16"/>
  <c r="J756" i="16"/>
  <c r="J632" i="16"/>
  <c r="J658" i="16"/>
  <c r="E658" i="16"/>
  <c r="D628" i="16"/>
  <c r="D1220" i="16"/>
  <c r="H628" i="16"/>
  <c r="F1267" i="16"/>
  <c r="G689" i="16"/>
  <c r="I689" i="16"/>
  <c r="G770" i="16"/>
  <c r="J770" i="16"/>
  <c r="H770" i="16"/>
  <c r="I770" i="16"/>
  <c r="G620" i="16"/>
  <c r="I620" i="16"/>
  <c r="F620" i="16"/>
  <c r="H320" i="16"/>
  <c r="G363" i="16"/>
  <c r="F363" i="16"/>
  <c r="H363" i="16"/>
  <c r="D363" i="16"/>
  <c r="H665" i="16"/>
  <c r="D665" i="16"/>
  <c r="F479" i="16"/>
  <c r="D479" i="16"/>
  <c r="H316" i="16"/>
  <c r="G316" i="16"/>
  <c r="E316" i="16"/>
  <c r="F948" i="16"/>
  <c r="G948" i="16"/>
  <c r="I948" i="16"/>
  <c r="H948" i="16"/>
  <c r="E1201" i="16"/>
  <c r="F1201" i="16"/>
  <c r="G1112" i="16"/>
  <c r="D1112" i="16"/>
  <c r="F1112" i="16"/>
  <c r="E1112" i="16"/>
  <c r="H1112" i="16"/>
  <c r="J276" i="16"/>
  <c r="D276" i="16"/>
  <c r="D557" i="16"/>
  <c r="F557" i="16"/>
  <c r="J557" i="16"/>
  <c r="G997" i="16"/>
  <c r="E997" i="16"/>
  <c r="I997" i="16"/>
  <c r="H993" i="16"/>
  <c r="G993" i="16"/>
  <c r="H1018" i="16"/>
  <c r="E1018" i="16"/>
  <c r="D1018" i="16"/>
  <c r="I669" i="16"/>
  <c r="H669" i="16"/>
  <c r="G669" i="16"/>
  <c r="J669" i="16"/>
  <c r="I588" i="16"/>
  <c r="H588" i="16"/>
  <c r="D577" i="16"/>
  <c r="G577" i="16"/>
  <c r="E535" i="16"/>
  <c r="D535" i="16"/>
  <c r="G475" i="16"/>
  <c r="I475" i="16"/>
  <c r="F475" i="16"/>
  <c r="E475" i="16"/>
  <c r="G1217" i="16"/>
  <c r="F1217" i="16"/>
  <c r="G340" i="16"/>
  <c r="H340" i="16"/>
  <c r="E340" i="16"/>
  <c r="G399" i="16"/>
  <c r="E399" i="16"/>
  <c r="H399" i="16"/>
  <c r="G1104" i="16"/>
  <c r="E1104" i="16"/>
  <c r="J1104" i="16"/>
  <c r="I737" i="16"/>
  <c r="F737" i="16"/>
  <c r="G737" i="16"/>
  <c r="D1145" i="16"/>
  <c r="H1145" i="16"/>
  <c r="J1145" i="16"/>
  <c r="G1145" i="16"/>
  <c r="D1044" i="16"/>
  <c r="H1044" i="16"/>
  <c r="G602" i="16"/>
  <c r="I602" i="16"/>
  <c r="J602" i="16"/>
  <c r="H602" i="16"/>
  <c r="D602" i="16"/>
  <c r="F602" i="16"/>
  <c r="F1104" i="16"/>
  <c r="J1268" i="16"/>
  <c r="F1268" i="16"/>
  <c r="D1268" i="16"/>
  <c r="G840" i="16"/>
  <c r="J840" i="16"/>
  <c r="I1145" i="16"/>
  <c r="J1081" i="16"/>
  <c r="H513" i="16"/>
  <c r="G513" i="16"/>
  <c r="E513" i="16"/>
  <c r="F513" i="16"/>
  <c r="D569" i="16"/>
  <c r="F569" i="16"/>
  <c r="J569" i="16"/>
  <c r="G569" i="16"/>
  <c r="I569" i="16"/>
  <c r="E569" i="16"/>
  <c r="H569" i="16"/>
  <c r="G996" i="16"/>
  <c r="H996" i="16"/>
  <c r="F996" i="16"/>
  <c r="D996" i="16"/>
  <c r="I996" i="16"/>
  <c r="J996" i="16"/>
  <c r="E1227" i="16"/>
  <c r="E408" i="16"/>
  <c r="J408" i="16"/>
  <c r="H408" i="16"/>
  <c r="I408" i="16"/>
  <c r="D408" i="16"/>
  <c r="F408" i="16"/>
  <c r="J464" i="16"/>
  <c r="I464" i="16"/>
  <c r="E464" i="16"/>
  <c r="F464" i="16"/>
  <c r="G464" i="16"/>
  <c r="H464" i="16"/>
  <c r="D464" i="16"/>
  <c r="E491" i="16"/>
  <c r="G491" i="16"/>
  <c r="H491" i="16"/>
  <c r="F491" i="16"/>
  <c r="H1156" i="16"/>
  <c r="G1156" i="16"/>
  <c r="J1156" i="16"/>
  <c r="I1156" i="16"/>
  <c r="D1156" i="16"/>
  <c r="E1156" i="16"/>
  <c r="I540" i="16"/>
  <c r="G540" i="16"/>
  <c r="F399" i="16"/>
  <c r="D399" i="16"/>
  <c r="G1268" i="16"/>
  <c r="I1268" i="16"/>
  <c r="I768" i="16"/>
  <c r="D1104" i="16"/>
  <c r="H303" i="16"/>
  <c r="J303" i="16"/>
  <c r="I303" i="16"/>
  <c r="D303" i="16"/>
  <c r="J315" i="16"/>
  <c r="D315" i="16"/>
  <c r="F692" i="16"/>
  <c r="H692" i="16"/>
  <c r="J699" i="16"/>
  <c r="E699" i="16"/>
  <c r="F1173" i="16"/>
  <c r="D1173" i="16"/>
  <c r="E271" i="16"/>
  <c r="I271" i="16"/>
  <c r="E415" i="16"/>
  <c r="H437" i="16"/>
  <c r="J437" i="16"/>
  <c r="D437" i="16"/>
  <c r="F437" i="16"/>
  <c r="G437" i="16"/>
  <c r="E437" i="16"/>
  <c r="E1270" i="16"/>
  <c r="G1270" i="16"/>
  <c r="G401" i="16"/>
  <c r="D401" i="16"/>
  <c r="E401" i="16"/>
  <c r="H401" i="16"/>
  <c r="F401" i="16"/>
  <c r="D488" i="16"/>
  <c r="E488" i="16"/>
  <c r="H488" i="16"/>
  <c r="H504" i="16"/>
  <c r="F504" i="16"/>
  <c r="G504" i="16"/>
  <c r="E504" i="16"/>
  <c r="J729" i="16"/>
  <c r="F729" i="16"/>
  <c r="J1129" i="16"/>
  <c r="I1129" i="16"/>
  <c r="E1129" i="16"/>
  <c r="D1129" i="16"/>
  <c r="G1129" i="16"/>
  <c r="F336" i="16"/>
  <c r="D336" i="16"/>
  <c r="J776" i="16"/>
  <c r="E776" i="16"/>
  <c r="F834" i="16"/>
  <c r="J834" i="16"/>
  <c r="F848" i="16"/>
  <c r="I1089" i="16"/>
  <c r="G306" i="16"/>
  <c r="J306" i="16"/>
  <c r="E306" i="16"/>
  <c r="H306" i="16"/>
  <c r="E392" i="16"/>
  <c r="F392" i="16"/>
  <c r="H392" i="16"/>
  <c r="H474" i="16"/>
  <c r="D333" i="16"/>
  <c r="H333" i="16"/>
  <c r="I995" i="16"/>
  <c r="D995" i="16"/>
  <c r="F995" i="16"/>
  <c r="J995" i="16"/>
  <c r="E995" i="16"/>
  <c r="I987" i="16"/>
  <c r="J987" i="16"/>
  <c r="G987" i="16"/>
  <c r="J952" i="16"/>
  <c r="F952" i="16"/>
  <c r="H952" i="16"/>
  <c r="G952" i="16"/>
  <c r="F937" i="16"/>
  <c r="F915" i="16"/>
  <c r="J915" i="16"/>
  <c r="I915" i="16"/>
  <c r="G915" i="16"/>
  <c r="H855" i="16"/>
  <c r="G855" i="16"/>
  <c r="D829" i="16"/>
  <c r="I829" i="16"/>
  <c r="H829" i="16"/>
  <c r="E829" i="16"/>
  <c r="F829" i="16"/>
  <c r="G829" i="16"/>
  <c r="J829" i="16"/>
  <c r="H722" i="16"/>
  <c r="J722" i="16"/>
  <c r="I722" i="16"/>
  <c r="D722" i="16"/>
  <c r="F722" i="16"/>
  <c r="F713" i="16"/>
  <c r="H713" i="16"/>
  <c r="E713" i="16"/>
  <c r="D713" i="16"/>
  <c r="G713" i="16"/>
  <c r="G368" i="16"/>
  <c r="J368" i="16"/>
  <c r="E368" i="16"/>
  <c r="H325" i="16"/>
  <c r="J325" i="16"/>
  <c r="I325" i="16"/>
  <c r="E325" i="16"/>
  <c r="D296" i="16"/>
  <c r="G296" i="16"/>
  <c r="H296" i="16"/>
  <c r="E296" i="16"/>
  <c r="I296" i="16"/>
  <c r="F296" i="16"/>
  <c r="F293" i="16"/>
  <c r="Y280" i="16"/>
  <c r="E336" i="16"/>
  <c r="I336" i="16"/>
  <c r="G436" i="16"/>
  <c r="I776" i="16"/>
  <c r="G1240" i="16"/>
  <c r="D738" i="16"/>
  <c r="H834" i="16"/>
  <c r="E834" i="16"/>
  <c r="F452" i="16"/>
  <c r="J703" i="16"/>
  <c r="E987" i="16"/>
  <c r="E722" i="16"/>
  <c r="D452" i="16"/>
  <c r="I392" i="16"/>
  <c r="I306" i="16"/>
  <c r="D1012" i="16"/>
  <c r="G995" i="16"/>
  <c r="H995" i="16"/>
  <c r="J296" i="16"/>
  <c r="H922" i="16"/>
  <c r="G922" i="16"/>
  <c r="E922" i="16"/>
  <c r="I922" i="16"/>
  <c r="I1190" i="16"/>
  <c r="J1190" i="16"/>
  <c r="G1190" i="16"/>
  <c r="D1190" i="16"/>
  <c r="G1105" i="16"/>
  <c r="I1105" i="16"/>
  <c r="F1105" i="16"/>
  <c r="D1105" i="16"/>
  <c r="D1124" i="16"/>
  <c r="J1124" i="16"/>
  <c r="F1124" i="16"/>
  <c r="E1283" i="16"/>
  <c r="I1283" i="16"/>
  <c r="J1283" i="16"/>
  <c r="H1283" i="16"/>
  <c r="F969" i="16"/>
  <c r="E969" i="16"/>
  <c r="J812" i="16"/>
  <c r="E812" i="16"/>
  <c r="G812" i="16"/>
  <c r="D812" i="16"/>
  <c r="I812" i="16"/>
  <c r="F812" i="16"/>
  <c r="F890" i="16"/>
  <c r="H890" i="16"/>
  <c r="J745" i="16"/>
  <c r="F745" i="16"/>
  <c r="D745" i="16"/>
  <c r="I496" i="16"/>
  <c r="E516" i="16"/>
  <c r="J516" i="16"/>
  <c r="G359" i="16"/>
  <c r="E359" i="16"/>
  <c r="F359" i="16"/>
  <c r="I359" i="16"/>
  <c r="D359" i="16"/>
  <c r="I537" i="16"/>
  <c r="J537" i="16"/>
  <c r="F537" i="16"/>
  <c r="E537" i="16"/>
  <c r="F680" i="16"/>
  <c r="H680" i="16"/>
  <c r="J680" i="16"/>
  <c r="J1128" i="16"/>
  <c r="F1128" i="16"/>
  <c r="D472" i="16"/>
  <c r="J444" i="16"/>
  <c r="F444" i="16"/>
  <c r="E444" i="16"/>
  <c r="H444" i="16"/>
  <c r="I484" i="16"/>
  <c r="D484" i="16"/>
  <c r="J484" i="16"/>
  <c r="G484" i="16"/>
  <c r="D503" i="16"/>
  <c r="J503" i="16"/>
  <c r="F503" i="16"/>
  <c r="E503" i="16"/>
  <c r="F1013" i="16"/>
  <c r="I1013" i="16"/>
  <c r="G1013" i="16"/>
  <c r="D1013" i="16"/>
  <c r="H1237" i="16"/>
  <c r="G1237" i="16"/>
  <c r="E1237" i="16"/>
  <c r="F512" i="16"/>
  <c r="I512" i="16"/>
  <c r="G512" i="16"/>
  <c r="E512" i="16"/>
  <c r="G1260" i="16"/>
  <c r="D1260" i="16"/>
  <c r="I1260" i="16"/>
  <c r="E1260" i="16"/>
  <c r="F864" i="16"/>
  <c r="J864" i="16"/>
  <c r="I864" i="16"/>
  <c r="G864" i="16"/>
  <c r="E864" i="16"/>
  <c r="D864" i="16"/>
  <c r="F1048" i="16"/>
  <c r="G576" i="16"/>
  <c r="J576" i="16"/>
  <c r="F576" i="16"/>
  <c r="D576" i="16"/>
  <c r="G325" i="16"/>
  <c r="H368" i="16"/>
  <c r="G396" i="16"/>
  <c r="E396" i="16"/>
  <c r="J396" i="16"/>
  <c r="I396" i="16"/>
  <c r="E605" i="16"/>
  <c r="I605" i="16"/>
  <c r="J1037" i="16"/>
  <c r="D564" i="16"/>
  <c r="E564" i="16"/>
  <c r="H295" i="16"/>
  <c r="G295" i="16"/>
  <c r="D295" i="16"/>
  <c r="J295" i="16"/>
  <c r="D714" i="16"/>
  <c r="G714" i="16"/>
  <c r="E714" i="16"/>
  <c r="J714" i="16"/>
  <c r="F714" i="16"/>
  <c r="E383" i="16"/>
  <c r="J383" i="16"/>
  <c r="F383" i="16"/>
  <c r="I383" i="16"/>
  <c r="I362" i="16"/>
  <c r="E362" i="16"/>
  <c r="G362" i="16"/>
  <c r="D362" i="16"/>
  <c r="J362" i="16"/>
  <c r="H362" i="16"/>
  <c r="E355" i="16"/>
  <c r="D355" i="16"/>
  <c r="I355" i="16"/>
  <c r="J355" i="16"/>
  <c r="H355" i="16"/>
  <c r="G355" i="16"/>
  <c r="D320" i="16"/>
  <c r="F320" i="16"/>
  <c r="G320" i="16"/>
  <c r="I320" i="16"/>
  <c r="E320" i="16"/>
  <c r="G304" i="16"/>
  <c r="D304" i="16"/>
  <c r="H304" i="16"/>
  <c r="J304" i="16"/>
  <c r="F304" i="16"/>
  <c r="F301" i="16"/>
  <c r="H301" i="16"/>
  <c r="J301" i="16"/>
  <c r="E301" i="16"/>
  <c r="G301" i="16"/>
  <c r="I301" i="16"/>
  <c r="D301" i="16"/>
  <c r="H285" i="16"/>
  <c r="G285" i="16"/>
  <c r="I285" i="16"/>
  <c r="E581" i="16"/>
  <c r="H581" i="16"/>
  <c r="G708" i="16"/>
  <c r="F708" i="16"/>
  <c r="E708" i="16"/>
  <c r="H708" i="16"/>
  <c r="H1082" i="16"/>
  <c r="I1082" i="16"/>
  <c r="E1286" i="16"/>
  <c r="I1286" i="16"/>
  <c r="J1286" i="16"/>
  <c r="G1286" i="16"/>
  <c r="J841" i="16"/>
  <c r="F841" i="16"/>
  <c r="E1061" i="16"/>
  <c r="J1061" i="16"/>
  <c r="H1061" i="16"/>
  <c r="E1269" i="16"/>
  <c r="J1269" i="16"/>
  <c r="F1269" i="16"/>
  <c r="I1269" i="16"/>
  <c r="H1269" i="16"/>
  <c r="F647" i="16"/>
  <c r="E647" i="16"/>
  <c r="J647" i="16"/>
  <c r="H647" i="16"/>
  <c r="G466" i="16"/>
  <c r="F445" i="16"/>
  <c r="H445" i="16"/>
  <c r="I928" i="16"/>
  <c r="J928" i="16"/>
  <c r="G928" i="16"/>
  <c r="D385" i="16"/>
  <c r="I385" i="16"/>
  <c r="E385" i="16"/>
  <c r="H906" i="16"/>
  <c r="I906" i="16"/>
  <c r="E1005" i="16"/>
  <c r="H1005" i="16"/>
  <c r="E1021" i="16"/>
  <c r="D1021" i="16"/>
  <c r="I1021" i="16"/>
  <c r="F1021" i="16"/>
  <c r="J1282" i="16"/>
  <c r="D1282" i="16"/>
  <c r="G1282" i="16"/>
  <c r="H449" i="16"/>
  <c r="J449" i="16"/>
  <c r="E843" i="16"/>
  <c r="I843" i="16"/>
  <c r="Y1134" i="16"/>
  <c r="Y592" i="16"/>
  <c r="Y1060" i="16"/>
  <c r="Y916" i="16"/>
  <c r="Y765" i="16"/>
  <c r="Y1258" i="16"/>
  <c r="Y704" i="16"/>
  <c r="Y659" i="16"/>
  <c r="Y444" i="16"/>
  <c r="Y261" i="16"/>
  <c r="D720" i="16"/>
  <c r="F720" i="16"/>
  <c r="H720" i="16"/>
  <c r="J1024" i="16"/>
  <c r="H1024" i="16"/>
  <c r="D1024" i="16"/>
  <c r="I1024" i="16"/>
  <c r="E641" i="16"/>
  <c r="J641" i="16"/>
  <c r="H641" i="16"/>
  <c r="H649" i="16"/>
  <c r="I649" i="16"/>
  <c r="F649" i="16"/>
  <c r="J772" i="16"/>
  <c r="F772" i="16"/>
  <c r="H772" i="16"/>
  <c r="E772" i="16"/>
  <c r="D896" i="16"/>
  <c r="J896" i="16"/>
  <c r="F1152" i="16"/>
  <c r="H1152" i="16"/>
  <c r="F559" i="16"/>
  <c r="G559" i="16"/>
  <c r="E559" i="16"/>
  <c r="F1100" i="16"/>
  <c r="F800" i="16"/>
  <c r="J800" i="16"/>
  <c r="D882" i="16"/>
  <c r="J882" i="16"/>
  <c r="H882" i="16"/>
  <c r="I1114" i="16"/>
  <c r="F1114" i="16"/>
  <c r="H1177" i="16"/>
  <c r="D1177" i="16"/>
  <c r="E1177" i="16"/>
  <c r="I1177" i="16"/>
  <c r="F279" i="16"/>
  <c r="H279" i="16"/>
  <c r="D279" i="16"/>
  <c r="I450" i="16"/>
  <c r="J450" i="16"/>
  <c r="H450" i="16"/>
  <c r="D450" i="16"/>
  <c r="G872" i="16"/>
  <c r="I872" i="16"/>
  <c r="F1003" i="16"/>
  <c r="H1003" i="16"/>
  <c r="E1003" i="16"/>
  <c r="G1003" i="16"/>
  <c r="G292" i="16"/>
  <c r="E292" i="16"/>
  <c r="I292" i="16"/>
  <c r="H292" i="16"/>
  <c r="I896" i="16"/>
  <c r="G772" i="16"/>
  <c r="G1020" i="16"/>
  <c r="E649" i="16"/>
  <c r="F641" i="16"/>
  <c r="G895" i="16"/>
  <c r="E720" i="16"/>
  <c r="F450" i="16"/>
  <c r="J279" i="16"/>
  <c r="F882" i="16"/>
  <c r="G1177" i="16"/>
  <c r="J1114" i="16"/>
  <c r="I1003" i="16"/>
  <c r="E279" i="16"/>
  <c r="D1100" i="16"/>
  <c r="H540" i="16"/>
  <c r="J540" i="16"/>
  <c r="I1012" i="16"/>
  <c r="F436" i="16"/>
  <c r="H436" i="16"/>
  <c r="F458" i="16"/>
  <c r="I458" i="16"/>
  <c r="F332" i="16"/>
  <c r="E332" i="16"/>
  <c r="I332" i="16"/>
  <c r="J332" i="16"/>
  <c r="D340" i="16"/>
  <c r="F340" i="16"/>
  <c r="I426" i="16"/>
  <c r="D426" i="16"/>
  <c r="J369" i="16"/>
  <c r="G384" i="16"/>
  <c r="G650" i="16"/>
  <c r="F650" i="16"/>
  <c r="E650" i="16"/>
  <c r="J650" i="16"/>
  <c r="H673" i="16"/>
  <c r="I673" i="16"/>
  <c r="E784" i="16"/>
  <c r="D784" i="16"/>
  <c r="H784" i="16"/>
  <c r="F292" i="16"/>
  <c r="G450" i="16"/>
  <c r="I428" i="16"/>
  <c r="I1185" i="16"/>
  <c r="H1185" i="16"/>
  <c r="J1185" i="16"/>
  <c r="D1185" i="16"/>
  <c r="F1185" i="16"/>
  <c r="D417" i="16"/>
  <c r="J417" i="16"/>
  <c r="I417" i="16"/>
  <c r="H417" i="16"/>
  <c r="F529" i="16"/>
  <c r="E529" i="16"/>
  <c r="J529" i="16"/>
  <c r="H529" i="16"/>
  <c r="G529" i="16"/>
  <c r="D529" i="16"/>
  <c r="H589" i="16"/>
  <c r="J589" i="16"/>
  <c r="D589" i="16"/>
  <c r="I589" i="16"/>
  <c r="E589" i="16"/>
  <c r="I700" i="16"/>
  <c r="J700" i="16"/>
  <c r="D700" i="16"/>
  <c r="G700" i="16"/>
  <c r="F700" i="16"/>
  <c r="E1011" i="16"/>
  <c r="H1011" i="16"/>
  <c r="G1235" i="16"/>
  <c r="F1235" i="16"/>
  <c r="E1235" i="16"/>
  <c r="J1235" i="16"/>
  <c r="H1235" i="16"/>
  <c r="I583" i="16"/>
  <c r="G583" i="16"/>
  <c r="F583" i="16"/>
  <c r="J583" i="16"/>
  <c r="F939" i="16"/>
  <c r="H939" i="16"/>
  <c r="E939" i="16"/>
  <c r="J939" i="16"/>
  <c r="I939" i="16"/>
  <c r="G939" i="16"/>
  <c r="G955" i="16"/>
  <c r="J955" i="16"/>
  <c r="E955" i="16"/>
  <c r="D955" i="16"/>
  <c r="D891" i="16"/>
  <c r="G891" i="16"/>
  <c r="H891" i="16"/>
  <c r="D939" i="16"/>
  <c r="E896" i="16"/>
  <c r="I772" i="16"/>
  <c r="F1024" i="16"/>
  <c r="I340" i="16"/>
  <c r="D332" i="16"/>
  <c r="I436" i="16"/>
  <c r="J395" i="16"/>
  <c r="J649" i="16"/>
  <c r="G720" i="16"/>
  <c r="E426" i="16"/>
  <c r="E416" i="16"/>
  <c r="E882" i="16"/>
  <c r="F872" i="16"/>
  <c r="J1177" i="16"/>
  <c r="E1114" i="16"/>
  <c r="I650" i="16"/>
  <c r="J1003" i="16"/>
  <c r="I1100" i="16"/>
  <c r="J1012" i="16"/>
  <c r="E700" i="16"/>
  <c r="F1012" i="16"/>
  <c r="E891" i="16"/>
  <c r="G1188" i="16"/>
  <c r="I1188" i="16"/>
  <c r="E1277" i="16"/>
  <c r="I1277" i="16"/>
  <c r="D1277" i="16"/>
  <c r="J1277" i="16"/>
  <c r="E1185" i="16"/>
  <c r="H635" i="16"/>
  <c r="I635" i="16"/>
  <c r="G692" i="16"/>
  <c r="E692" i="16"/>
  <c r="D692" i="16"/>
  <c r="J692" i="16"/>
  <c r="G699" i="16"/>
  <c r="F699" i="16"/>
  <c r="I699" i="16"/>
  <c r="J1011" i="16"/>
  <c r="I529" i="16"/>
  <c r="I564" i="16"/>
  <c r="F564" i="16"/>
  <c r="H564" i="16"/>
  <c r="J564" i="16"/>
  <c r="E345" i="16"/>
  <c r="J345" i="16"/>
  <c r="F584" i="16"/>
  <c r="E584" i="16"/>
  <c r="I584" i="16"/>
  <c r="H584" i="16"/>
  <c r="J584" i="16"/>
  <c r="G1277" i="16"/>
  <c r="G426" i="16"/>
  <c r="F896" i="16"/>
  <c r="D772" i="16"/>
  <c r="G1024" i="16"/>
  <c r="J340" i="16"/>
  <c r="H332" i="16"/>
  <c r="I559" i="16"/>
  <c r="D436" i="16"/>
  <c r="I641" i="16"/>
  <c r="J720" i="16"/>
  <c r="F540" i="16"/>
  <c r="E988" i="16"/>
  <c r="F965" i="16"/>
  <c r="I882" i="16"/>
  <c r="E872" i="16"/>
  <c r="F1177" i="16"/>
  <c r="H1114" i="16"/>
  <c r="H699" i="16"/>
  <c r="I692" i="16"/>
  <c r="H650" i="16"/>
  <c r="J428" i="16"/>
  <c r="J784" i="16"/>
  <c r="H700" i="16"/>
  <c r="G641" i="16"/>
  <c r="G649" i="16"/>
  <c r="J752" i="16"/>
  <c r="I752" i="16"/>
  <c r="F752" i="16"/>
  <c r="G752" i="16"/>
  <c r="G896" i="16"/>
  <c r="I904" i="16"/>
  <c r="D904" i="16"/>
  <c r="F904" i="16"/>
  <c r="G1012" i="16"/>
  <c r="I891" i="16"/>
  <c r="J891" i="16"/>
  <c r="G1184" i="16"/>
  <c r="D1184" i="16"/>
  <c r="I1184" i="16"/>
  <c r="F1184" i="16"/>
  <c r="D1243" i="16"/>
  <c r="I1243" i="16"/>
  <c r="I319" i="16"/>
  <c r="J319" i="16"/>
  <c r="G319" i="16"/>
  <c r="G1114" i="16"/>
  <c r="E840" i="16"/>
  <c r="D840" i="16"/>
  <c r="H840" i="16"/>
  <c r="F840" i="16"/>
  <c r="I852" i="16"/>
  <c r="D852" i="16"/>
  <c r="E852" i="16"/>
  <c r="J852" i="16"/>
  <c r="G965" i="16"/>
  <c r="H1012" i="16"/>
  <c r="F417" i="16"/>
  <c r="F1182" i="16"/>
  <c r="E1182" i="16"/>
  <c r="J1182" i="16"/>
  <c r="G1137" i="16"/>
  <c r="I1137" i="16"/>
  <c r="F1137" i="16"/>
  <c r="D1261" i="16"/>
  <c r="I1261" i="16"/>
  <c r="E1261" i="16"/>
  <c r="F1261" i="16"/>
  <c r="H1261" i="16"/>
  <c r="G400" i="16"/>
  <c r="E400" i="16"/>
  <c r="J400" i="16"/>
  <c r="H400" i="16"/>
  <c r="J1153" i="16"/>
  <c r="G1153" i="16"/>
  <c r="E1153" i="16"/>
  <c r="G1146" i="16"/>
  <c r="H1146" i="16"/>
  <c r="F1146" i="16"/>
  <c r="I1146" i="16"/>
  <c r="D1146" i="16"/>
  <c r="E1146" i="16"/>
  <c r="F562" i="16"/>
  <c r="G562" i="16"/>
  <c r="H562" i="16"/>
  <c r="J562" i="16"/>
  <c r="D562" i="16"/>
  <c r="I562" i="16"/>
  <c r="J1042" i="16"/>
  <c r="E1042" i="16"/>
  <c r="I1042" i="16"/>
  <c r="H1042" i="16"/>
  <c r="F1042" i="16"/>
  <c r="G1042" i="16"/>
  <c r="G907" i="16"/>
  <c r="H907" i="16"/>
  <c r="I907" i="16"/>
  <c r="J907" i="16"/>
  <c r="D907" i="16"/>
  <c r="F907" i="16"/>
  <c r="G1180" i="16"/>
  <c r="F1180" i="16"/>
  <c r="J1180" i="16"/>
  <c r="D1180" i="16"/>
  <c r="D453" i="16"/>
  <c r="G453" i="16"/>
  <c r="J453" i="16"/>
  <c r="F453" i="16"/>
  <c r="I453" i="16"/>
  <c r="E453" i="16"/>
  <c r="H1045" i="16"/>
  <c r="I1045" i="16"/>
  <c r="J1045" i="16"/>
  <c r="I1117" i="16"/>
  <c r="H1117" i="16"/>
  <c r="G664" i="16"/>
  <c r="H664" i="16"/>
  <c r="E946" i="16"/>
  <c r="H946" i="16"/>
  <c r="D1048" i="16"/>
  <c r="E1048" i="16"/>
  <c r="G405" i="16"/>
  <c r="F405" i="16"/>
  <c r="J405" i="16"/>
  <c r="F725" i="16"/>
  <c r="D725" i="16"/>
  <c r="E725" i="16"/>
  <c r="J725" i="16"/>
  <c r="E956" i="16"/>
  <c r="G956" i="16"/>
  <c r="I1036" i="16"/>
  <c r="H1036" i="16"/>
  <c r="J467" i="16"/>
  <c r="H467" i="16"/>
  <c r="I908" i="16"/>
  <c r="F908" i="16"/>
  <c r="H789" i="16"/>
  <c r="J789" i="16"/>
  <c r="E789" i="16"/>
  <c r="H568" i="16"/>
  <c r="I568" i="16"/>
  <c r="E568" i="16"/>
  <c r="H517" i="16"/>
  <c r="I467" i="16"/>
  <c r="F517" i="16"/>
  <c r="D1080" i="16"/>
  <c r="I1048" i="16"/>
  <c r="H811" i="16"/>
  <c r="J908" i="16"/>
  <c r="H1129" i="16"/>
  <c r="D811" i="16"/>
  <c r="E1036" i="16"/>
  <c r="D1242" i="16"/>
  <c r="D789" i="16"/>
  <c r="D313" i="16"/>
  <c r="E1025" i="16"/>
  <c r="F423" i="16"/>
  <c r="H737" i="16"/>
  <c r="F811" i="16"/>
  <c r="J811" i="16"/>
  <c r="H1048" i="16"/>
  <c r="H969" i="16"/>
  <c r="J737" i="16"/>
  <c r="I333" i="16"/>
  <c r="H725" i="16"/>
  <c r="H360" i="16"/>
  <c r="F1129" i="16"/>
  <c r="D908" i="16"/>
  <c r="I1242" i="16"/>
  <c r="F1036" i="16"/>
  <c r="J1036" i="16"/>
  <c r="G536" i="16"/>
  <c r="D956" i="16"/>
  <c r="F865" i="16"/>
  <c r="I536" i="16"/>
  <c r="F360" i="16"/>
  <c r="F664" i="16"/>
  <c r="F568" i="16"/>
  <c r="F467" i="16"/>
  <c r="E1148" i="16"/>
  <c r="H1148" i="16"/>
  <c r="F655" i="16"/>
  <c r="G467" i="16"/>
  <c r="G823" i="16"/>
  <c r="D1272" i="16"/>
  <c r="E1268" i="16"/>
  <c r="J1287" i="16"/>
  <c r="J610" i="16"/>
  <c r="J1240" i="16"/>
  <c r="E848" i="16"/>
  <c r="F303" i="16"/>
  <c r="I517" i="16"/>
  <c r="I1148" i="16"/>
  <c r="H908" i="16"/>
  <c r="G811" i="16"/>
  <c r="E1242" i="16"/>
  <c r="G789" i="16"/>
  <c r="G865" i="16"/>
  <c r="I946" i="16"/>
  <c r="H1022" i="16"/>
  <c r="G1048" i="16"/>
  <c r="D946" i="16"/>
  <c r="G969" i="16"/>
  <c r="J969" i="16"/>
  <c r="J778" i="16"/>
  <c r="F333" i="16"/>
  <c r="G725" i="16"/>
  <c r="G1242" i="16"/>
  <c r="F956" i="16"/>
  <c r="E664" i="16"/>
  <c r="D568" i="16"/>
  <c r="E467" i="16"/>
  <c r="G549" i="16"/>
  <c r="H553" i="16"/>
  <c r="E553" i="16"/>
  <c r="D553" i="16"/>
  <c r="I553" i="16"/>
  <c r="H605" i="16"/>
  <c r="F605" i="16"/>
  <c r="I687" i="16"/>
  <c r="H687" i="16"/>
  <c r="E1002" i="16"/>
  <c r="J1002" i="16"/>
  <c r="F1053" i="16"/>
  <c r="J1053" i="16"/>
  <c r="H1053" i="16"/>
  <c r="J488" i="16"/>
  <c r="F488" i="16"/>
  <c r="I488" i="16"/>
  <c r="D729" i="16"/>
  <c r="I729" i="16"/>
  <c r="I914" i="16"/>
  <c r="F914" i="16"/>
  <c r="G516" i="16"/>
  <c r="H516" i="16"/>
  <c r="D1125" i="16"/>
  <c r="H1125" i="16"/>
  <c r="F1125" i="16"/>
  <c r="E1256" i="16"/>
  <c r="G1256" i="16"/>
  <c r="F1256" i="16"/>
  <c r="E264" i="16"/>
  <c r="D264" i="16"/>
  <c r="I264" i="16"/>
  <c r="D897" i="16"/>
  <c r="G897" i="16"/>
  <c r="E841" i="16"/>
  <c r="D841" i="16"/>
  <c r="G841" i="16"/>
  <c r="I841" i="16"/>
  <c r="H841" i="16"/>
  <c r="D561" i="16"/>
  <c r="G561" i="16"/>
  <c r="H561" i="16"/>
  <c r="F801" i="16"/>
  <c r="G801" i="16"/>
  <c r="F1057" i="16"/>
  <c r="D1057" i="16"/>
  <c r="I1057" i="16"/>
  <c r="G1057" i="16"/>
  <c r="J1057" i="16"/>
  <c r="E1274" i="16"/>
  <c r="I1274" i="16"/>
  <c r="F1274" i="16"/>
  <c r="G351" i="16"/>
  <c r="E351" i="16"/>
  <c r="F755" i="16"/>
  <c r="H755" i="16"/>
  <c r="E733" i="16"/>
  <c r="D733" i="16"/>
  <c r="I733" i="16"/>
  <c r="E644" i="16"/>
  <c r="H644" i="16"/>
  <c r="F1019" i="16"/>
  <c r="E1019" i="16"/>
  <c r="D1019" i="16"/>
  <c r="D322" i="16"/>
  <c r="H322" i="16"/>
  <c r="F570" i="16"/>
  <c r="I570" i="16"/>
  <c r="I491" i="16"/>
  <c r="J491" i="16"/>
  <c r="E546" i="16"/>
  <c r="F546" i="16"/>
  <c r="E1006" i="16"/>
  <c r="G1006" i="16"/>
  <c r="H1006" i="16"/>
  <c r="I1058" i="16"/>
  <c r="J394" i="16"/>
  <c r="E394" i="16"/>
  <c r="D394" i="16"/>
  <c r="J431" i="16"/>
  <c r="G431" i="16"/>
  <c r="H431" i="16"/>
  <c r="D431" i="16"/>
  <c r="I431" i="16"/>
  <c r="H879" i="16"/>
  <c r="F879" i="16"/>
  <c r="G1252" i="16"/>
  <c r="I1252" i="16"/>
  <c r="J820" i="16"/>
  <c r="D820" i="16"/>
  <c r="D1257" i="16"/>
  <c r="I1257" i="16"/>
  <c r="H1196" i="16"/>
  <c r="D1196" i="16"/>
  <c r="F538" i="16"/>
  <c r="E538" i="16"/>
  <c r="F719" i="16"/>
  <c r="H719" i="16"/>
  <c r="E719" i="16"/>
  <c r="F1085" i="16"/>
  <c r="E1085" i="16"/>
  <c r="I1085" i="16"/>
  <c r="H905" i="16"/>
  <c r="E905" i="16"/>
  <c r="F663" i="16"/>
  <c r="E663" i="16"/>
  <c r="F581" i="16"/>
  <c r="G581" i="16"/>
  <c r="D1194" i="16"/>
  <c r="I1194" i="16"/>
  <c r="D603" i="16"/>
  <c r="H603" i="16"/>
  <c r="E372" i="16"/>
  <c r="H372" i="16"/>
  <c r="H1172" i="16"/>
  <c r="J1172" i="16"/>
  <c r="G593" i="16"/>
  <c r="D593" i="16"/>
  <c r="E593" i="16"/>
  <c r="J888" i="16"/>
  <c r="I888" i="16"/>
  <c r="G888" i="16"/>
  <c r="E290" i="16"/>
  <c r="J290" i="16"/>
  <c r="J460" i="16"/>
  <c r="D460" i="16"/>
  <c r="H460" i="16"/>
  <c r="I507" i="16"/>
  <c r="D507" i="16"/>
  <c r="D618" i="16"/>
  <c r="G618" i="16"/>
  <c r="I966" i="16"/>
  <c r="D966" i="16"/>
  <c r="I935" i="16"/>
  <c r="D883" i="16"/>
  <c r="G883" i="16"/>
  <c r="I368" i="16"/>
  <c r="F368" i="16"/>
  <c r="D368" i="16"/>
  <c r="F325" i="16"/>
  <c r="D325" i="16"/>
  <c r="G322" i="16"/>
  <c r="G284" i="16"/>
  <c r="Y272" i="16"/>
  <c r="S272" i="16"/>
  <c r="I272" i="16" s="1"/>
  <c r="F1084" i="16"/>
  <c r="D1084" i="16"/>
  <c r="D898" i="16"/>
  <c r="G898" i="16"/>
  <c r="S837" i="16"/>
  <c r="Y786" i="16"/>
  <c r="S786" i="16"/>
  <c r="E786" i="16" s="1"/>
  <c r="S712" i="16"/>
  <c r="G712" i="16" s="1"/>
  <c r="Y712" i="16"/>
  <c r="S505" i="16"/>
  <c r="Y505" i="16"/>
  <c r="S441" i="16"/>
  <c r="G441" i="16" s="1"/>
  <c r="Y441" i="16"/>
  <c r="S353" i="16"/>
  <c r="Y353" i="16"/>
  <c r="Y1042" i="16"/>
  <c r="Y805" i="16"/>
  <c r="Y721" i="16"/>
  <c r="Y651" i="16"/>
  <c r="Y448" i="16"/>
  <c r="S757" i="16"/>
  <c r="D757" i="16" s="1"/>
  <c r="Y757" i="16"/>
  <c r="Y1067" i="16"/>
  <c r="Y837" i="16"/>
  <c r="Y501" i="16"/>
  <c r="S1178" i="16"/>
  <c r="Y1178" i="16"/>
  <c r="Y1202" i="16"/>
  <c r="Y1198" i="16"/>
  <c r="Y723" i="16"/>
  <c r="Y329" i="16"/>
  <c r="S1224" i="16"/>
  <c r="G1224" i="16" s="1"/>
  <c r="E304" i="16"/>
  <c r="I304" i="16"/>
  <c r="Y1002" i="16"/>
  <c r="Y809" i="16"/>
  <c r="Y761" i="16"/>
  <c r="Y512" i="16"/>
  <c r="Y349" i="16"/>
  <c r="S498" i="16"/>
  <c r="I498" i="16" s="1"/>
  <c r="Y498" i="16"/>
  <c r="Y301" i="16"/>
  <c r="D285" i="16"/>
  <c r="E285" i="16"/>
  <c r="Y1154" i="16"/>
  <c r="Y1066" i="16"/>
  <c r="Y1026" i="16"/>
  <c r="Y1006" i="16"/>
  <c r="Y909" i="16"/>
  <c r="Y517" i="16"/>
  <c r="Y469" i="16"/>
  <c r="Y405" i="16"/>
  <c r="H492" i="16"/>
  <c r="F492" i="16"/>
  <c r="E492" i="16"/>
  <c r="G492" i="16"/>
  <c r="D567" i="16"/>
  <c r="F567" i="16"/>
  <c r="G567" i="16"/>
  <c r="J1272" i="16"/>
  <c r="H575" i="16"/>
  <c r="D492" i="16"/>
  <c r="D1020" i="16"/>
  <c r="F1020" i="16"/>
  <c r="D919" i="16"/>
  <c r="E1074" i="16"/>
  <c r="J1152" i="16"/>
  <c r="D1152" i="16"/>
  <c r="E1152" i="16"/>
  <c r="E458" i="16"/>
  <c r="G458" i="16"/>
  <c r="G1272" i="16"/>
  <c r="F624" i="16"/>
  <c r="G624" i="16"/>
  <c r="I624" i="16"/>
  <c r="H624" i="16"/>
  <c r="G315" i="16"/>
  <c r="I315" i="16"/>
  <c r="E315" i="16"/>
  <c r="F315" i="16"/>
  <c r="J331" i="16"/>
  <c r="G707" i="16"/>
  <c r="I707" i="16"/>
  <c r="I807" i="16"/>
  <c r="G818" i="16"/>
  <c r="D420" i="16"/>
  <c r="G420" i="16"/>
  <c r="H420" i="16"/>
  <c r="E420" i="16"/>
  <c r="G880" i="16"/>
  <c r="F880" i="16"/>
  <c r="I880" i="16"/>
  <c r="H880" i="16"/>
  <c r="G592" i="16"/>
  <c r="H592" i="16"/>
  <c r="D592" i="16"/>
  <c r="I592" i="16"/>
  <c r="F592" i="16"/>
  <c r="J592" i="16"/>
  <c r="H371" i="16"/>
  <c r="I931" i="16"/>
  <c r="G931" i="16"/>
  <c r="E931" i="16"/>
  <c r="J931" i="16"/>
  <c r="D931" i="16"/>
  <c r="H931" i="16"/>
  <c r="F931" i="16"/>
  <c r="D287" i="16"/>
  <c r="H1285" i="16"/>
  <c r="J1285" i="16"/>
  <c r="I1285" i="16"/>
  <c r="F1285" i="16"/>
  <c r="F1147" i="16"/>
  <c r="D1147" i="16"/>
  <c r="H1147" i="16"/>
  <c r="E1147" i="16"/>
  <c r="J1147" i="16"/>
  <c r="E919" i="16"/>
  <c r="J567" i="16"/>
  <c r="E1272" i="16"/>
  <c r="I1272" i="16"/>
  <c r="H1020" i="16"/>
  <c r="I1020" i="16"/>
  <c r="J458" i="16"/>
  <c r="G1152" i="16"/>
  <c r="D540" i="16"/>
  <c r="I1152" i="16"/>
  <c r="J880" i="16"/>
  <c r="G673" i="16"/>
  <c r="J624" i="16"/>
  <c r="D673" i="16"/>
  <c r="H315" i="16"/>
  <c r="F420" i="16"/>
  <c r="H707" i="16"/>
  <c r="J440" i="16"/>
  <c r="D617" i="16"/>
  <c r="E617" i="16"/>
  <c r="G765" i="16"/>
  <c r="H765" i="16"/>
  <c r="J765" i="16"/>
  <c r="J780" i="16"/>
  <c r="F780" i="16"/>
  <c r="D624" i="16"/>
  <c r="J543" i="16"/>
  <c r="H426" i="16"/>
  <c r="F426" i="16"/>
  <c r="D299" i="16"/>
  <c r="H452" i="16"/>
  <c r="E452" i="16"/>
  <c r="G452" i="16"/>
  <c r="G424" i="16"/>
  <c r="I424" i="16"/>
  <c r="E424" i="16"/>
  <c r="D424" i="16"/>
  <c r="J844" i="16"/>
  <c r="H844" i="16"/>
  <c r="F844" i="16"/>
  <c r="D506" i="16"/>
  <c r="E1228" i="16"/>
  <c r="D1228" i="16"/>
  <c r="I1228" i="16"/>
  <c r="H1228" i="16"/>
  <c r="G1228" i="16"/>
  <c r="J1228" i="16"/>
  <c r="G266" i="16"/>
  <c r="E266" i="16"/>
  <c r="H266" i="16"/>
  <c r="J266" i="16"/>
  <c r="H345" i="16"/>
  <c r="G345" i="16"/>
  <c r="F345" i="16"/>
  <c r="G409" i="16"/>
  <c r="J409" i="16"/>
  <c r="H409" i="16"/>
  <c r="I409" i="16"/>
  <c r="D409" i="16"/>
  <c r="D658" i="16"/>
  <c r="H658" i="16"/>
  <c r="G658" i="16"/>
  <c r="E673" i="16"/>
  <c r="J673" i="16"/>
  <c r="F673" i="16"/>
  <c r="E738" i="16"/>
  <c r="I738" i="16"/>
  <c r="F738" i="16"/>
  <c r="J818" i="16"/>
  <c r="H818" i="16"/>
  <c r="D818" i="16"/>
  <c r="G1173" i="16"/>
  <c r="H1173" i="16"/>
  <c r="E1173" i="16"/>
  <c r="I1173" i="16"/>
  <c r="G416" i="16"/>
  <c r="H416" i="16"/>
  <c r="J416" i="16"/>
  <c r="E954" i="16"/>
  <c r="I954" i="16"/>
  <c r="H954" i="16"/>
  <c r="G954" i="16"/>
  <c r="F1160" i="16"/>
  <c r="J1160" i="16"/>
  <c r="F1168" i="16"/>
  <c r="D1168" i="16"/>
  <c r="H1168" i="16"/>
  <c r="G1168" i="16"/>
  <c r="D960" i="16"/>
  <c r="H960" i="16"/>
  <c r="E960" i="16"/>
  <c r="H1000" i="16"/>
  <c r="J1000" i="16"/>
  <c r="F1000" i="16"/>
  <c r="G1000" i="16"/>
  <c r="I1000" i="16"/>
  <c r="D1000" i="16"/>
  <c r="D1200" i="16"/>
  <c r="H1200" i="16"/>
  <c r="E1200" i="16"/>
  <c r="G1200" i="16"/>
  <c r="J1200" i="16"/>
  <c r="H775" i="16"/>
  <c r="J775" i="16"/>
  <c r="F775" i="16"/>
  <c r="G775" i="16"/>
  <c r="E775" i="16"/>
  <c r="I775" i="16"/>
  <c r="F1099" i="16"/>
  <c r="G1099" i="16"/>
  <c r="J1099" i="16"/>
  <c r="D1099" i="16"/>
  <c r="H1099" i="16"/>
  <c r="E1099" i="16"/>
  <c r="F919" i="16"/>
  <c r="I919" i="16"/>
  <c r="I567" i="16"/>
  <c r="H567" i="16"/>
  <c r="F1272" i="16"/>
  <c r="J1020" i="16"/>
  <c r="D458" i="16"/>
  <c r="H458" i="16"/>
  <c r="E540" i="16"/>
  <c r="J492" i="16"/>
  <c r="F818" i="16"/>
  <c r="J738" i="16"/>
  <c r="F658" i="16"/>
  <c r="J1173" i="16"/>
  <c r="D954" i="16"/>
  <c r="E1168" i="16"/>
  <c r="D1160" i="16"/>
  <c r="J707" i="16"/>
  <c r="G1285" i="16"/>
  <c r="G695" i="16"/>
  <c r="E695" i="16"/>
  <c r="H695" i="16"/>
  <c r="J904" i="16"/>
  <c r="E904" i="16"/>
  <c r="G395" i="16"/>
  <c r="I395" i="16"/>
  <c r="F395" i="16"/>
  <c r="D559" i="16"/>
  <c r="H559" i="16"/>
  <c r="G1147" i="16"/>
  <c r="F1200" i="16"/>
  <c r="H1243" i="16"/>
  <c r="E1243" i="16"/>
  <c r="D416" i="16"/>
  <c r="D377" i="16"/>
  <c r="F377" i="16"/>
  <c r="J377" i="16"/>
  <c r="H377" i="16"/>
  <c r="E377" i="16"/>
  <c r="E635" i="16"/>
  <c r="D635" i="16"/>
  <c r="J635" i="16"/>
  <c r="F635" i="16"/>
  <c r="H271" i="16"/>
  <c r="J271" i="16"/>
  <c r="F271" i="16"/>
  <c r="G271" i="16"/>
  <c r="H872" i="16"/>
  <c r="J872" i="16"/>
  <c r="D872" i="16"/>
  <c r="E1000" i="16"/>
  <c r="H1059" i="16"/>
  <c r="I1059" i="16"/>
  <c r="F1059" i="16"/>
  <c r="E1059" i="16"/>
  <c r="J1059" i="16"/>
  <c r="D1059" i="16"/>
  <c r="H1016" i="16"/>
  <c r="J1016" i="16"/>
  <c r="E1016" i="16"/>
  <c r="I1016" i="16"/>
  <c r="E1130" i="16"/>
  <c r="J1130" i="16"/>
  <c r="F1130" i="16"/>
  <c r="D1130" i="16"/>
  <c r="H1130" i="16"/>
  <c r="G1130" i="16"/>
  <c r="I1130" i="16"/>
  <c r="F1283" i="16"/>
  <c r="D1283" i="16"/>
  <c r="G556" i="16"/>
  <c r="J556" i="16"/>
  <c r="D556" i="16"/>
  <c r="F556" i="16"/>
  <c r="E556" i="16"/>
  <c r="I1044" i="16"/>
  <c r="J1044" i="16"/>
  <c r="E1044" i="16"/>
  <c r="G1044" i="16"/>
  <c r="F1044" i="16"/>
  <c r="G328" i="16"/>
  <c r="J328" i="16"/>
  <c r="I328" i="16"/>
  <c r="F328" i="16"/>
  <c r="H328" i="16"/>
  <c r="G679" i="16"/>
  <c r="H679" i="16"/>
  <c r="F679" i="16"/>
  <c r="J679" i="16"/>
  <c r="I679" i="16"/>
  <c r="F1077" i="16"/>
  <c r="J1077" i="16"/>
  <c r="G1077" i="16"/>
  <c r="H1077" i="16"/>
  <c r="D1077" i="16"/>
  <c r="G747" i="16"/>
  <c r="D858" i="16"/>
  <c r="H858" i="16"/>
  <c r="F265" i="16"/>
  <c r="D1045" i="16"/>
  <c r="G1045" i="16"/>
  <c r="E1045" i="16"/>
  <c r="F1045" i="16"/>
  <c r="E1117" i="16"/>
  <c r="F1117" i="16"/>
  <c r="J1117" i="16"/>
  <c r="I625" i="16"/>
  <c r="F625" i="16"/>
  <c r="D625" i="16"/>
  <c r="G1128" i="16"/>
  <c r="E1128" i="16"/>
  <c r="H1128" i="16"/>
  <c r="I1128" i="16"/>
  <c r="D1128" i="16"/>
  <c r="D657" i="16"/>
  <c r="E657" i="16"/>
  <c r="I657" i="16"/>
  <c r="J657" i="16"/>
  <c r="H657" i="16"/>
  <c r="J916" i="16"/>
  <c r="F916" i="16"/>
  <c r="H916" i="16"/>
  <c r="I916" i="16"/>
  <c r="E916" i="16"/>
  <c r="G1080" i="16"/>
  <c r="H1080" i="16"/>
  <c r="F522" i="16"/>
  <c r="H522" i="16"/>
  <c r="G522" i="16"/>
  <c r="G1236" i="16"/>
  <c r="H1236" i="16"/>
  <c r="E1236" i="16"/>
  <c r="F1236" i="16"/>
  <c r="E737" i="16"/>
  <c r="D737" i="16"/>
  <c r="H1182" i="16"/>
  <c r="G1182" i="16"/>
  <c r="F1145" i="16"/>
  <c r="E1145" i="16"/>
  <c r="J1137" i="16"/>
  <c r="E1137" i="16"/>
  <c r="D1137" i="16"/>
  <c r="D697" i="16"/>
  <c r="H697" i="16"/>
  <c r="G545" i="16"/>
  <c r="I545" i="16"/>
  <c r="F667" i="16"/>
  <c r="I667" i="16"/>
  <c r="G777" i="16"/>
  <c r="J777" i="16"/>
  <c r="D343" i="16"/>
  <c r="G343" i="16"/>
  <c r="I1220" i="16"/>
  <c r="H1220" i="16"/>
  <c r="G378" i="16"/>
  <c r="H378" i="16"/>
  <c r="I378" i="16"/>
  <c r="D504" i="16"/>
  <c r="I504" i="16"/>
  <c r="G729" i="16"/>
  <c r="H729" i="16"/>
  <c r="G1248" i="16"/>
  <c r="E1248" i="16"/>
  <c r="F1248" i="16"/>
  <c r="F489" i="16"/>
  <c r="E1121" i="16"/>
  <c r="H1121" i="16"/>
  <c r="J1121" i="16"/>
  <c r="I360" i="16"/>
  <c r="E360" i="16"/>
  <c r="G360" i="16"/>
  <c r="F589" i="16"/>
  <c r="G589" i="16"/>
  <c r="F1066" i="16"/>
  <c r="H1066" i="16"/>
  <c r="I1011" i="16"/>
  <c r="F1011" i="16"/>
  <c r="D1011" i="16"/>
  <c r="G1011" i="16"/>
  <c r="H1026" i="16"/>
  <c r="F1026" i="16"/>
  <c r="D1136" i="16"/>
  <c r="E1136" i="16"/>
  <c r="H1097" i="16"/>
  <c r="D1097" i="16"/>
  <c r="I1097" i="16"/>
  <c r="F1097" i="16"/>
  <c r="E1097" i="16"/>
  <c r="E1075" i="16"/>
  <c r="J1075" i="16"/>
  <c r="D1075" i="16"/>
  <c r="F1075" i="16"/>
  <c r="H1075" i="16"/>
  <c r="H1072" i="16"/>
  <c r="D1065" i="16"/>
  <c r="E1033" i="16"/>
  <c r="J1033" i="16"/>
  <c r="D1033" i="16"/>
  <c r="I1033" i="16"/>
  <c r="H985" i="16"/>
  <c r="I985" i="16"/>
  <c r="F985" i="16"/>
  <c r="E876" i="16"/>
  <c r="D855" i="16"/>
  <c r="E855" i="16"/>
  <c r="J855" i="16"/>
  <c r="I855" i="16"/>
  <c r="F855" i="16"/>
  <c r="I457" i="16"/>
  <c r="G457" i="16"/>
  <c r="D457" i="16"/>
  <c r="E457" i="16"/>
  <c r="H457" i="16"/>
  <c r="G346" i="16"/>
  <c r="I329" i="16"/>
  <c r="F329" i="16"/>
  <c r="H329" i="16"/>
  <c r="G329" i="16"/>
  <c r="E329" i="16"/>
  <c r="J329" i="16"/>
  <c r="D300" i="16"/>
  <c r="G469" i="16"/>
  <c r="D469" i="16"/>
  <c r="G585" i="16"/>
  <c r="D585" i="16"/>
  <c r="F585" i="16"/>
  <c r="F376" i="16"/>
  <c r="E376" i="16"/>
  <c r="H376" i="16"/>
  <c r="H690" i="16"/>
  <c r="J690" i="16"/>
  <c r="I690" i="16"/>
  <c r="F591" i="16"/>
  <c r="G591" i="16"/>
  <c r="J591" i="16"/>
  <c r="F379" i="16"/>
  <c r="J379" i="16"/>
  <c r="F771" i="16"/>
  <c r="F1002" i="16"/>
  <c r="I1002" i="16"/>
  <c r="G333" i="16"/>
  <c r="E333" i="16"/>
  <c r="D292" i="16"/>
  <c r="J292" i="16"/>
  <c r="J291" i="16"/>
  <c r="H291" i="16"/>
  <c r="I291" i="16"/>
  <c r="F1153" i="16"/>
  <c r="H1153" i="16"/>
  <c r="D1153" i="16"/>
  <c r="D732" i="16"/>
  <c r="F732" i="16"/>
  <c r="D755" i="16"/>
  <c r="J755" i="16"/>
  <c r="J709" i="16"/>
  <c r="G709" i="16"/>
  <c r="J733" i="16"/>
  <c r="G733" i="16"/>
  <c r="I745" i="16"/>
  <c r="G745" i="16"/>
  <c r="G820" i="16"/>
  <c r="I820" i="16"/>
  <c r="E820" i="16"/>
  <c r="J513" i="16"/>
  <c r="D513" i="16"/>
  <c r="I513" i="16"/>
  <c r="I1256" i="16"/>
  <c r="H1256" i="16"/>
  <c r="E1082" i="16"/>
  <c r="G1082" i="16"/>
  <c r="D1082" i="16"/>
  <c r="F1260" i="16"/>
  <c r="H1260" i="16"/>
  <c r="G261" i="16"/>
  <c r="D261" i="16"/>
  <c r="H261" i="16"/>
  <c r="I449" i="16"/>
  <c r="G449" i="16"/>
  <c r="F449" i="16"/>
  <c r="E937" i="16"/>
  <c r="F909" i="16"/>
  <c r="H909" i="16"/>
  <c r="J909" i="16"/>
  <c r="I909" i="16"/>
  <c r="E909" i="16"/>
  <c r="E413" i="16"/>
  <c r="J413" i="16"/>
  <c r="F413" i="16"/>
  <c r="G413" i="16"/>
  <c r="D759" i="16"/>
  <c r="I955" i="16"/>
  <c r="F955" i="16"/>
  <c r="D735" i="16"/>
  <c r="F735" i="16"/>
  <c r="I735" i="16"/>
  <c r="G735" i="16"/>
  <c r="F599" i="16"/>
  <c r="H599" i="16"/>
  <c r="G599" i="16"/>
  <c r="G580" i="16"/>
  <c r="J580" i="16"/>
  <c r="H580" i="16"/>
  <c r="I577" i="16"/>
  <c r="F577" i="16"/>
  <c r="J577" i="16"/>
  <c r="E485" i="16"/>
  <c r="H485" i="16"/>
  <c r="D680" i="16"/>
  <c r="G680" i="16"/>
  <c r="I1282" i="16"/>
  <c r="F1282" i="16"/>
  <c r="I1235" i="16"/>
  <c r="D1235" i="16"/>
  <c r="D874" i="16"/>
  <c r="F874" i="16"/>
  <c r="E874" i="16"/>
  <c r="J874" i="16"/>
  <c r="J483" i="16"/>
  <c r="H483" i="16"/>
  <c r="D375" i="16"/>
  <c r="I375" i="16"/>
  <c r="A40" i="2"/>
  <c r="C22" i="3"/>
  <c r="B10" i="3"/>
  <c r="B4" i="3"/>
  <c r="B4" i="4"/>
  <c r="A7" i="2"/>
  <c r="A64" i="2"/>
  <c r="J17" i="10"/>
  <c r="J6" i="10"/>
  <c r="I10" i="10"/>
  <c r="B1001" i="11"/>
  <c r="B13" i="4"/>
  <c r="I6" i="10"/>
  <c r="C6" i="10" s="1"/>
  <c r="I4" i="16"/>
  <c r="I27" i="10"/>
  <c r="A4" i="14"/>
  <c r="B24" i="4"/>
  <c r="B11" i="3"/>
  <c r="A28" i="2"/>
  <c r="J48" i="10"/>
  <c r="J50" i="10"/>
  <c r="I35" i="10"/>
  <c r="N4" i="16"/>
  <c r="I18" i="10"/>
  <c r="I52" i="10"/>
  <c r="I47" i="10"/>
  <c r="B9" i="3"/>
  <c r="A61" i="2"/>
  <c r="I9" i="10"/>
  <c r="J43" i="10"/>
  <c r="B20" i="4"/>
  <c r="A11" i="10" s="1"/>
  <c r="B24" i="3"/>
  <c r="B14" i="3"/>
  <c r="I26" i="10"/>
  <c r="B22" i="3"/>
  <c r="J63" i="10"/>
  <c r="B19" i="3"/>
  <c r="C7" i="3"/>
  <c r="B2" i="3"/>
  <c r="A15" i="2"/>
  <c r="A41" i="2"/>
  <c r="C4" i="16"/>
  <c r="B5" i="11"/>
  <c r="B22" i="4"/>
  <c r="A13" i="10" s="1"/>
  <c r="J51" i="10"/>
  <c r="I50" i="10"/>
  <c r="B26" i="4"/>
  <c r="A15" i="10" s="1"/>
  <c r="D4" i="14"/>
  <c r="A57" i="2"/>
  <c r="C25" i="3"/>
  <c r="B9" i="4"/>
  <c r="A5" i="10" s="1"/>
  <c r="A29" i="2"/>
  <c r="L62" i="10"/>
  <c r="I7" i="10"/>
  <c r="A39" i="2"/>
  <c r="A34" i="2"/>
  <c r="Q4" i="16"/>
  <c r="I12" i="10"/>
  <c r="C16" i="3"/>
  <c r="A51" i="2"/>
  <c r="A79" i="2"/>
  <c r="I38" i="10"/>
  <c r="C31" i="3"/>
  <c r="J65" i="10"/>
  <c r="A8" i="2"/>
  <c r="E4" i="16"/>
  <c r="A12" i="2"/>
  <c r="J28" i="10"/>
  <c r="A3" i="2"/>
  <c r="J22" i="10"/>
  <c r="A20" i="2"/>
  <c r="A4" i="16"/>
  <c r="A13" i="2"/>
  <c r="A30" i="2"/>
  <c r="I42" i="10"/>
  <c r="B8" i="4"/>
  <c r="A4" i="10" s="1"/>
  <c r="A11" i="2"/>
  <c r="O4" i="16"/>
  <c r="B68" i="4"/>
  <c r="A49" i="10" s="1"/>
  <c r="C14" i="3"/>
  <c r="A76" i="2"/>
  <c r="A60" i="2"/>
  <c r="B18" i="3"/>
  <c r="I65" i="10"/>
  <c r="A33" i="2"/>
  <c r="J41" i="10"/>
  <c r="I36" i="10"/>
  <c r="C18" i="3"/>
  <c r="A65" i="2"/>
  <c r="J21" i="10"/>
  <c r="B10" i="4"/>
  <c r="A6" i="10" s="1"/>
  <c r="J54" i="10"/>
  <c r="H68" i="4"/>
  <c r="J496" i="16"/>
  <c r="E496" i="16"/>
  <c r="H496" i="16"/>
  <c r="F496" i="16"/>
  <c r="H759" i="16"/>
  <c r="J555" i="16"/>
  <c r="E369" i="16"/>
  <c r="G369" i="16"/>
  <c r="F596" i="16"/>
  <c r="E596" i="16"/>
  <c r="J937" i="16"/>
  <c r="D937" i="16"/>
  <c r="F1065" i="16"/>
  <c r="I415" i="16"/>
  <c r="D865" i="16"/>
  <c r="J865" i="16"/>
  <c r="G743" i="16"/>
  <c r="H937" i="16"/>
  <c r="J1092" i="16"/>
  <c r="I972" i="16"/>
  <c r="I369" i="16"/>
  <c r="D496" i="16"/>
  <c r="I937" i="16"/>
  <c r="F415" i="16"/>
  <c r="I640" i="16"/>
  <c r="J481" i="16"/>
  <c r="J849" i="16"/>
  <c r="I865" i="16"/>
  <c r="J759" i="16"/>
  <c r="H928" i="16"/>
  <c r="F928" i="16"/>
  <c r="E928" i="16"/>
  <c r="D928" i="16"/>
  <c r="H682" i="16"/>
  <c r="F682" i="16"/>
  <c r="H1193" i="16"/>
  <c r="D1193" i="16"/>
  <c r="G1193" i="16"/>
  <c r="H1034" i="16"/>
  <c r="D1034" i="16"/>
  <c r="E1034" i="16"/>
  <c r="F1034" i="16"/>
  <c r="F369" i="16"/>
  <c r="I759" i="16"/>
  <c r="G640" i="16"/>
  <c r="J1193" i="16"/>
  <c r="D369" i="16"/>
  <c r="E759" i="16"/>
  <c r="I1065" i="16"/>
  <c r="E481" i="16"/>
  <c r="I849" i="16"/>
  <c r="I1034" i="16"/>
  <c r="H865" i="16"/>
  <c r="F759" i="16"/>
  <c r="J682" i="16"/>
  <c r="J924" i="16"/>
  <c r="E1193" i="16"/>
  <c r="G748" i="16"/>
  <c r="I715" i="16"/>
  <c r="F715" i="16"/>
  <c r="G496" i="16"/>
  <c r="F500" i="16"/>
  <c r="D500" i="16"/>
  <c r="D524" i="16"/>
  <c r="E524" i="16"/>
  <c r="J524" i="16"/>
  <c r="H524" i="16"/>
  <c r="E571" i="16"/>
  <c r="H616" i="16"/>
  <c r="H986" i="16"/>
  <c r="D986" i="16"/>
  <c r="H802" i="16"/>
  <c r="E731" i="16"/>
  <c r="H731" i="16"/>
  <c r="F327" i="16"/>
  <c r="E346" i="16"/>
  <c r="J346" i="16"/>
  <c r="G600" i="16"/>
  <c r="J947" i="16"/>
  <c r="E293" i="16"/>
  <c r="E959" i="16"/>
  <c r="G936" i="16"/>
  <c r="F481" i="16"/>
  <c r="I947" i="16"/>
  <c r="G1195" i="16"/>
  <c r="D1195" i="16"/>
  <c r="H959" i="16"/>
  <c r="E936" i="16"/>
  <c r="H857" i="16"/>
  <c r="F857" i="16"/>
  <c r="J857" i="16"/>
  <c r="I857" i="16"/>
  <c r="G892" i="16"/>
  <c r="F892" i="16"/>
  <c r="D549" i="16"/>
  <c r="J549" i="16"/>
  <c r="F549" i="16"/>
  <c r="H911" i="16"/>
  <c r="F911" i="16"/>
  <c r="E739" i="16"/>
  <c r="D739" i="16"/>
  <c r="J751" i="16"/>
  <c r="H549" i="16"/>
  <c r="J986" i="16"/>
  <c r="G1157" i="16"/>
  <c r="I1157" i="16"/>
  <c r="J1157" i="16"/>
  <c r="G578" i="16"/>
  <c r="D879" i="16"/>
  <c r="G879" i="16"/>
  <c r="E879" i="16"/>
  <c r="I879" i="16"/>
  <c r="D407" i="16"/>
  <c r="J407" i="16"/>
  <c r="I787" i="16"/>
  <c r="F807" i="16"/>
  <c r="J807" i="16"/>
  <c r="H807" i="16"/>
  <c r="E807" i="16"/>
  <c r="D807" i="16"/>
  <c r="I815" i="16"/>
  <c r="E815" i="16"/>
  <c r="G815" i="16"/>
  <c r="F815" i="16"/>
  <c r="H815" i="16"/>
  <c r="E857" i="16"/>
  <c r="J879" i="16"/>
  <c r="E1032" i="16"/>
  <c r="I549" i="16"/>
  <c r="H1157" i="16"/>
  <c r="G917" i="16"/>
  <c r="J917" i="16"/>
  <c r="D917" i="16"/>
  <c r="G986" i="16"/>
  <c r="G858" i="16"/>
  <c r="J858" i="16"/>
  <c r="F858" i="16"/>
  <c r="I327" i="16"/>
  <c r="D346" i="16"/>
  <c r="F346" i="16"/>
  <c r="H346" i="16"/>
  <c r="I346" i="16"/>
  <c r="D423" i="16"/>
  <c r="I423" i="16"/>
  <c r="G423" i="16"/>
  <c r="J423" i="16"/>
  <c r="H423" i="16"/>
  <c r="E423" i="16"/>
  <c r="E767" i="16"/>
  <c r="H767" i="16"/>
  <c r="F767" i="16"/>
  <c r="I767" i="16"/>
  <c r="J767" i="16"/>
  <c r="D767" i="16"/>
  <c r="G767" i="16"/>
  <c r="H876" i="16"/>
  <c r="F876" i="16"/>
  <c r="D876" i="16"/>
  <c r="I876" i="16"/>
  <c r="G876" i="16"/>
  <c r="I903" i="16"/>
  <c r="J903" i="16"/>
  <c r="E903" i="16"/>
  <c r="H903" i="16"/>
  <c r="D903" i="16"/>
  <c r="J287" i="16"/>
  <c r="G287" i="16"/>
  <c r="I287" i="16"/>
  <c r="F287" i="16"/>
  <c r="G857" i="16"/>
  <c r="H287" i="16"/>
  <c r="I923" i="16"/>
  <c r="E549" i="16"/>
  <c r="I892" i="16"/>
  <c r="F903" i="16"/>
  <c r="E1157" i="16"/>
  <c r="E600" i="16"/>
  <c r="H600" i="16"/>
  <c r="G751" i="16"/>
  <c r="D323" i="16"/>
  <c r="H323" i="16"/>
  <c r="J323" i="16"/>
  <c r="E323" i="16"/>
  <c r="G323" i="16"/>
  <c r="F323" i="16"/>
  <c r="I323" i="16"/>
  <c r="E427" i="16"/>
  <c r="F427" i="16"/>
  <c r="J427" i="16"/>
  <c r="H481" i="16"/>
  <c r="G481" i="16"/>
  <c r="D481" i="16"/>
  <c r="G739" i="16"/>
  <c r="I1284" i="16"/>
  <c r="J335" i="16"/>
  <c r="F335" i="16"/>
  <c r="E335" i="16"/>
  <c r="H335" i="16"/>
  <c r="D335" i="16"/>
  <c r="I335" i="16"/>
  <c r="H391" i="16"/>
  <c r="E391" i="16"/>
  <c r="D391" i="16"/>
  <c r="F411" i="16"/>
  <c r="D411" i="16"/>
  <c r="E411" i="16"/>
  <c r="J411" i="16"/>
  <c r="H411" i="16"/>
  <c r="I411" i="16"/>
  <c r="E803" i="16"/>
  <c r="J803" i="16"/>
  <c r="F943" i="16"/>
  <c r="D943" i="16"/>
  <c r="J943" i="16"/>
  <c r="H943" i="16"/>
  <c r="E943" i="16"/>
  <c r="I943" i="16"/>
  <c r="F947" i="16"/>
  <c r="D947" i="16"/>
  <c r="D575" i="16"/>
  <c r="I762" i="16"/>
  <c r="D1222" i="16"/>
  <c r="J391" i="16"/>
  <c r="E947" i="16"/>
  <c r="F1170" i="16"/>
  <c r="H1170" i="16"/>
  <c r="D1170" i="16"/>
  <c r="I1170" i="16"/>
  <c r="J1170" i="16"/>
  <c r="E1170" i="16"/>
  <c r="D330" i="16"/>
  <c r="E330" i="16"/>
  <c r="D791" i="16"/>
  <c r="J791" i="16"/>
  <c r="F791" i="16"/>
  <c r="I791" i="16"/>
  <c r="E791" i="16"/>
  <c r="H791" i="16"/>
  <c r="J265" i="16"/>
  <c r="I265" i="16"/>
  <c r="E265" i="16"/>
  <c r="F299" i="16"/>
  <c r="J299" i="16"/>
  <c r="H299" i="16"/>
  <c r="E299" i="16"/>
  <c r="I387" i="16"/>
  <c r="D387" i="16"/>
  <c r="H387" i="16"/>
  <c r="J387" i="16"/>
  <c r="D485" i="16"/>
  <c r="F485" i="16"/>
  <c r="I485" i="16"/>
  <c r="J485" i="16"/>
  <c r="D849" i="16"/>
  <c r="E849" i="16"/>
  <c r="G943" i="16"/>
  <c r="F311" i="16"/>
  <c r="D819" i="16"/>
  <c r="E819" i="16"/>
  <c r="F819" i="16"/>
  <c r="H819" i="16"/>
  <c r="F1107" i="16"/>
  <c r="G1107" i="16"/>
  <c r="E1107" i="16"/>
  <c r="D1107" i="16"/>
  <c r="D544" i="16"/>
  <c r="E563" i="16"/>
  <c r="J563" i="16"/>
  <c r="F563" i="16"/>
  <c r="I563" i="16"/>
  <c r="G563" i="16"/>
  <c r="D563" i="16"/>
  <c r="H563" i="16"/>
  <c r="E1218" i="16"/>
  <c r="H1218" i="16"/>
  <c r="H1107" i="16"/>
  <c r="D1118" i="16"/>
  <c r="E1118" i="16"/>
  <c r="D1249" i="16"/>
  <c r="G1249" i="16"/>
  <c r="H1249" i="16"/>
  <c r="F1249" i="16"/>
  <c r="I1249" i="16"/>
  <c r="E1092" i="16"/>
  <c r="F1092" i="16"/>
  <c r="I1092" i="16"/>
  <c r="G1092" i="16"/>
  <c r="E268" i="16"/>
  <c r="D268" i="16"/>
  <c r="F268" i="16"/>
  <c r="G268" i="16"/>
  <c r="I300" i="16"/>
  <c r="G1032" i="16"/>
  <c r="D1032" i="16"/>
  <c r="H1032" i="16"/>
  <c r="J1032" i="16"/>
  <c r="F1032" i="16"/>
  <c r="H873" i="16"/>
  <c r="D944" i="16"/>
  <c r="F944" i="16"/>
  <c r="J944" i="16"/>
  <c r="H944" i="16"/>
  <c r="I944" i="16"/>
  <c r="E944" i="16"/>
  <c r="G944" i="16"/>
  <c r="J731" i="16"/>
  <c r="I731" i="16"/>
  <c r="D731" i="16"/>
  <c r="G731" i="16"/>
  <c r="F731" i="16"/>
  <c r="I1107" i="16"/>
  <c r="F808" i="16"/>
  <c r="I808" i="16"/>
  <c r="D808" i="16"/>
  <c r="E808" i="16"/>
  <c r="G808" i="16"/>
  <c r="J808" i="16"/>
  <c r="H808" i="16"/>
  <c r="I990" i="16"/>
  <c r="D990" i="16"/>
  <c r="G990" i="16"/>
  <c r="E1123" i="16"/>
  <c r="I1123" i="16"/>
  <c r="D1123" i="16"/>
  <c r="H1123" i="16"/>
  <c r="E555" i="16"/>
  <c r="H555" i="16"/>
  <c r="F555" i="16"/>
  <c r="I555" i="16"/>
  <c r="G555" i="16"/>
  <c r="D616" i="16"/>
  <c r="E616" i="16"/>
  <c r="H1069" i="16"/>
  <c r="E1069" i="16"/>
  <c r="J1069" i="16"/>
  <c r="F740" i="16"/>
  <c r="I740" i="16"/>
  <c r="G740" i="16"/>
  <c r="I802" i="16"/>
  <c r="E655" i="16"/>
  <c r="G655" i="16"/>
  <c r="I655" i="16"/>
  <c r="J923" i="16"/>
  <c r="F923" i="16"/>
  <c r="H923" i="16"/>
  <c r="F600" i="16"/>
  <c r="D600" i="16"/>
  <c r="E762" i="16"/>
  <c r="F578" i="16"/>
  <c r="E578" i="16"/>
  <c r="I746" i="16"/>
  <c r="F746" i="16"/>
  <c r="G804" i="16"/>
  <c r="J804" i="16"/>
  <c r="H804" i="16"/>
  <c r="I804" i="16"/>
  <c r="D804" i="16"/>
  <c r="F804" i="16"/>
  <c r="E804" i="16"/>
  <c r="F1166" i="16"/>
  <c r="D1166" i="16"/>
  <c r="E1166" i="16"/>
  <c r="J960" i="16"/>
  <c r="F960" i="16"/>
  <c r="E1179" i="16"/>
  <c r="D1179" i="16"/>
  <c r="F274" i="16"/>
  <c r="D274" i="16"/>
  <c r="G274" i="16"/>
  <c r="F447" i="16"/>
  <c r="I917" i="16"/>
  <c r="F917" i="16"/>
  <c r="H917" i="16"/>
  <c r="E917" i="16"/>
  <c r="F1157" i="16"/>
  <c r="D1157" i="16"/>
  <c r="I293" i="16"/>
  <c r="J293" i="16"/>
  <c r="G571" i="16"/>
  <c r="D604" i="16"/>
  <c r="E986" i="16"/>
  <c r="I986" i="16"/>
  <c r="F986" i="16"/>
  <c r="F1035" i="16"/>
  <c r="E1035" i="16"/>
  <c r="D1035" i="16"/>
  <c r="H1035" i="16"/>
  <c r="J869" i="16"/>
  <c r="G968" i="16"/>
  <c r="E968" i="16"/>
  <c r="J968" i="16"/>
  <c r="F968" i="16"/>
  <c r="H968" i="16"/>
  <c r="D968" i="16"/>
  <c r="I968" i="16"/>
  <c r="F1195" i="16"/>
  <c r="I1195" i="16"/>
  <c r="H1195" i="16"/>
  <c r="I472" i="16"/>
  <c r="G472" i="16"/>
  <c r="E472" i="16"/>
  <c r="I1216" i="16"/>
  <c r="H1216" i="16"/>
  <c r="D1225" i="16"/>
  <c r="F435" i="16"/>
  <c r="I1214" i="16"/>
  <c r="E1214" i="16"/>
  <c r="H1214" i="16"/>
  <c r="J1214" i="16"/>
  <c r="D1214" i="16"/>
  <c r="F1214" i="16"/>
  <c r="J1202" i="16"/>
  <c r="E858" i="16"/>
  <c r="I858" i="16"/>
  <c r="G923" i="16"/>
  <c r="J1224" i="16"/>
  <c r="D1224" i="16"/>
  <c r="F1224" i="16"/>
  <c r="H1224" i="16"/>
  <c r="I1224" i="16"/>
  <c r="D712" i="16"/>
  <c r="F712" i="16"/>
  <c r="E712" i="16"/>
  <c r="H712" i="16"/>
  <c r="J1178" i="16"/>
  <c r="E1178" i="16"/>
  <c r="G757" i="16"/>
  <c r="F757" i="16"/>
  <c r="I757" i="16"/>
  <c r="E757" i="16"/>
  <c r="J353" i="16"/>
  <c r="E353" i="16"/>
  <c r="H353" i="16"/>
  <c r="G353" i="16"/>
  <c r="F353" i="16"/>
  <c r="D353" i="16"/>
  <c r="I353" i="16"/>
  <c r="J505" i="16"/>
  <c r="I505" i="16"/>
  <c r="H505" i="16"/>
  <c r="D505" i="16"/>
  <c r="G505" i="16"/>
  <c r="F505" i="16"/>
  <c r="E505" i="16"/>
  <c r="D837" i="16"/>
  <c r="H837" i="16"/>
  <c r="I837" i="16"/>
  <c r="F837" i="16"/>
  <c r="I868" i="16"/>
  <c r="E763" i="16"/>
  <c r="G763" i="16"/>
  <c r="G596" i="16"/>
  <c r="H596" i="16"/>
  <c r="D596" i="16"/>
  <c r="J596" i="16"/>
  <c r="I596" i="16"/>
  <c r="J848" i="16"/>
  <c r="H848" i="16"/>
  <c r="D848" i="16"/>
  <c r="G848" i="16"/>
  <c r="I848" i="16"/>
  <c r="D970" i="16"/>
  <c r="H970" i="16"/>
  <c r="E970" i="16"/>
  <c r="F970" i="16"/>
  <c r="G970" i="16"/>
  <c r="J970" i="16"/>
  <c r="I970" i="16"/>
  <c r="I1225" i="16"/>
  <c r="H1225" i="16"/>
  <c r="E1225" i="16"/>
  <c r="J1225" i="16"/>
  <c r="F1225" i="16"/>
  <c r="E435" i="16"/>
  <c r="D435" i="16"/>
  <c r="J435" i="16"/>
  <c r="G435" i="16"/>
  <c r="H435" i="16"/>
  <c r="F652" i="16"/>
  <c r="I652" i="16"/>
  <c r="J652" i="16"/>
  <c r="E652" i="16"/>
  <c r="H652" i="16"/>
  <c r="D652" i="16"/>
  <c r="G652" i="16"/>
  <c r="H1049" i="16"/>
  <c r="J1049" i="16"/>
  <c r="I1049" i="16"/>
  <c r="D1049" i="16"/>
  <c r="F1049" i="16"/>
  <c r="G1049" i="16"/>
  <c r="E1049" i="16"/>
  <c r="G1009" i="16"/>
  <c r="F1009" i="16"/>
  <c r="I1009" i="16"/>
  <c r="H1009" i="16"/>
  <c r="J1009" i="16"/>
  <c r="E1009" i="16"/>
  <c r="E971" i="16"/>
  <c r="G971" i="16"/>
  <c r="I971" i="16"/>
  <c r="H971" i="16"/>
  <c r="J971" i="16"/>
  <c r="D971" i="16"/>
  <c r="E871" i="16"/>
  <c r="H871" i="16"/>
  <c r="I871" i="16"/>
  <c r="D871" i="16"/>
  <c r="F871" i="16"/>
  <c r="J871" i="16"/>
  <c r="G871" i="16"/>
  <c r="H868" i="16"/>
  <c r="J868" i="16"/>
  <c r="F868" i="16"/>
  <c r="E868" i="16"/>
  <c r="G868" i="16"/>
  <c r="E866" i="16"/>
  <c r="F866" i="16"/>
  <c r="H866" i="16"/>
  <c r="J866" i="16"/>
  <c r="I866" i="16"/>
  <c r="D866" i="16"/>
  <c r="I860" i="16"/>
  <c r="F860" i="16"/>
  <c r="J860" i="16"/>
  <c r="D860" i="16"/>
  <c r="E860" i="16"/>
  <c r="H860" i="16"/>
  <c r="D833" i="16"/>
  <c r="E833" i="16"/>
  <c r="G833" i="16"/>
  <c r="J833" i="16"/>
  <c r="H833" i="16"/>
  <c r="G817" i="16"/>
  <c r="H817" i="16"/>
  <c r="J817" i="16"/>
  <c r="I817" i="16"/>
  <c r="F817" i="16"/>
  <c r="D817" i="16"/>
  <c r="E797" i="16"/>
  <c r="D797" i="16"/>
  <c r="J797" i="16"/>
  <c r="G797" i="16"/>
  <c r="F797" i="16"/>
  <c r="H797" i="16"/>
  <c r="I797" i="16"/>
  <c r="I761" i="16"/>
  <c r="F761" i="16"/>
  <c r="D761" i="16"/>
  <c r="G761" i="16"/>
  <c r="E761" i="16"/>
  <c r="I747" i="16"/>
  <c r="J747" i="16"/>
  <c r="D747" i="16"/>
  <c r="F747" i="16"/>
  <c r="G723" i="16"/>
  <c r="J723" i="16"/>
  <c r="H723" i="16"/>
  <c r="F723" i="16"/>
  <c r="E723" i="16"/>
  <c r="D723" i="16"/>
  <c r="D721" i="16"/>
  <c r="J721" i="16"/>
  <c r="E721" i="16"/>
  <c r="F721" i="16"/>
  <c r="G721" i="16"/>
  <c r="H721" i="16"/>
  <c r="I721" i="16"/>
  <c r="F698" i="16"/>
  <c r="I698" i="16"/>
  <c r="D698" i="16"/>
  <c r="E698" i="16"/>
  <c r="H698" i="16"/>
  <c r="J698" i="16"/>
  <c r="G698" i="16"/>
  <c r="J473" i="16"/>
  <c r="F473" i="16"/>
  <c r="I473" i="16"/>
  <c r="E473" i="16"/>
  <c r="D473" i="16"/>
  <c r="G473" i="16"/>
  <c r="H473" i="16"/>
  <c r="G434" i="16"/>
  <c r="F434" i="16"/>
  <c r="J434" i="16"/>
  <c r="H434" i="16"/>
  <c r="I434" i="16"/>
  <c r="E434" i="16"/>
  <c r="D727" i="16"/>
  <c r="H727" i="16"/>
  <c r="J727" i="16"/>
  <c r="F727" i="16"/>
  <c r="E754" i="16"/>
  <c r="H754" i="16"/>
  <c r="H612" i="16"/>
  <c r="E612" i="16"/>
  <c r="G866" i="16"/>
  <c r="F263" i="16"/>
  <c r="D1284" i="16"/>
  <c r="G1284" i="16"/>
  <c r="F1284" i="16"/>
  <c r="H1284" i="16"/>
  <c r="E1284" i="16"/>
  <c r="I783" i="16"/>
  <c r="G783" i="16"/>
  <c r="F783" i="16"/>
  <c r="E783" i="16"/>
  <c r="H783" i="16"/>
  <c r="D783" i="16"/>
  <c r="H799" i="16"/>
  <c r="D799" i="16"/>
  <c r="I799" i="16"/>
  <c r="I435" i="16"/>
  <c r="J783" i="16"/>
  <c r="I723" i="16"/>
  <c r="D1009" i="16"/>
  <c r="D434" i="16"/>
  <c r="H747" i="16"/>
  <c r="G1225" i="16"/>
  <c r="J754" i="16"/>
  <c r="I833" i="16"/>
  <c r="I311" i="16"/>
  <c r="G311" i="16"/>
  <c r="J311" i="16"/>
  <c r="H1115" i="16"/>
  <c r="I1115" i="16"/>
  <c r="E1115" i="16"/>
  <c r="F1115" i="16"/>
  <c r="J1218" i="16"/>
  <c r="G1218" i="16"/>
  <c r="D1218" i="16"/>
  <c r="F1218" i="16"/>
  <c r="I1218" i="16"/>
  <c r="E747" i="16"/>
  <c r="E380" i="16"/>
  <c r="H380" i="16"/>
  <c r="E751" i="16"/>
  <c r="F751" i="16"/>
  <c r="H751" i="16"/>
  <c r="D751" i="16"/>
  <c r="I751" i="16"/>
  <c r="H543" i="16"/>
  <c r="F543" i="16"/>
  <c r="I543" i="16"/>
  <c r="E543" i="16"/>
  <c r="G543" i="16"/>
  <c r="D543" i="16"/>
  <c r="J761" i="16"/>
  <c r="J748" i="16"/>
  <c r="G639" i="16"/>
  <c r="E796" i="16"/>
  <c r="F796" i="16"/>
  <c r="D796" i="16"/>
  <c r="I796" i="16"/>
  <c r="J796" i="16"/>
  <c r="F885" i="16"/>
  <c r="G885" i="16"/>
  <c r="E885" i="16"/>
  <c r="D885" i="16"/>
  <c r="J935" i="16"/>
  <c r="G935" i="16"/>
  <c r="E935" i="16"/>
  <c r="F935" i="16"/>
  <c r="D935" i="16"/>
  <c r="H877" i="16"/>
  <c r="I877" i="16"/>
  <c r="G877" i="16"/>
  <c r="D877" i="16"/>
  <c r="F877" i="16"/>
  <c r="J877" i="16"/>
  <c r="H308" i="16"/>
  <c r="G308" i="16"/>
  <c r="I308" i="16"/>
  <c r="D308" i="16"/>
  <c r="E308" i="16"/>
  <c r="I1133" i="16"/>
  <c r="G1133" i="16"/>
  <c r="F1133" i="16"/>
  <c r="H1133" i="16"/>
  <c r="D1058" i="16"/>
  <c r="H1058" i="16"/>
  <c r="G1058" i="16"/>
  <c r="F1058" i="16"/>
  <c r="I1056" i="16"/>
  <c r="F1056" i="16"/>
  <c r="H1056" i="16"/>
  <c r="D1056" i="16"/>
  <c r="E1056" i="16"/>
  <c r="G1056" i="16"/>
  <c r="D367" i="16"/>
  <c r="J367" i="16"/>
  <c r="F367" i="16"/>
  <c r="G367" i="16"/>
  <c r="D364" i="16"/>
  <c r="G364" i="16"/>
  <c r="I364" i="16"/>
  <c r="H364" i="16"/>
  <c r="F364" i="16"/>
  <c r="H331" i="16"/>
  <c r="F331" i="16"/>
  <c r="G331" i="16"/>
  <c r="I331" i="16"/>
  <c r="J757" i="16"/>
  <c r="H757" i="16"/>
  <c r="J712" i="16"/>
  <c r="I712" i="16"/>
  <c r="F869" i="16"/>
  <c r="F1179" i="16"/>
  <c r="J1123" i="16"/>
  <c r="H268" i="16"/>
  <c r="I268" i="16"/>
  <c r="I1118" i="16"/>
  <c r="F1118" i="16"/>
  <c r="G427" i="16"/>
  <c r="G1179" i="16"/>
  <c r="H489" i="16"/>
  <c r="H796" i="16"/>
  <c r="D748" i="16"/>
  <c r="I885" i="16"/>
  <c r="D1133" i="16"/>
  <c r="D1092" i="16"/>
  <c r="H1092" i="16"/>
  <c r="I960" i="16"/>
  <c r="G960" i="16"/>
  <c r="E1133" i="16"/>
  <c r="J617" i="16"/>
  <c r="F617" i="16"/>
  <c r="G617" i="16"/>
  <c r="F308" i="16"/>
  <c r="H1188" i="16"/>
  <c r="J1188" i="16"/>
  <c r="F1188" i="16"/>
  <c r="E1188" i="16"/>
  <c r="F707" i="16"/>
  <c r="D707" i="16"/>
  <c r="E707" i="16"/>
  <c r="G800" i="16"/>
  <c r="I800" i="16"/>
  <c r="H800" i="16"/>
  <c r="D800" i="16"/>
  <c r="E800" i="16"/>
  <c r="F267" i="16"/>
  <c r="D267" i="16"/>
  <c r="G267" i="16"/>
  <c r="E489" i="16"/>
  <c r="I489" i="16"/>
  <c r="I1179" i="16"/>
  <c r="G1123" i="16"/>
  <c r="G1118" i="16"/>
  <c r="H427" i="16"/>
  <c r="I427" i="16"/>
  <c r="F936" i="16"/>
  <c r="E639" i="16"/>
  <c r="I936" i="16"/>
  <c r="E331" i="16"/>
  <c r="D331" i="16"/>
  <c r="H748" i="16"/>
  <c r="G796" i="16"/>
  <c r="H936" i="16"/>
  <c r="H885" i="16"/>
  <c r="J1133" i="16"/>
  <c r="H655" i="16"/>
  <c r="D655" i="16"/>
  <c r="J489" i="16"/>
  <c r="I1193" i="16"/>
  <c r="F1193" i="16"/>
  <c r="E395" i="16"/>
  <c r="D395" i="16"/>
  <c r="H919" i="16"/>
  <c r="J919" i="16"/>
  <c r="G919" i="16"/>
  <c r="J1058" i="16"/>
  <c r="E1100" i="16"/>
  <c r="H1100" i="16"/>
  <c r="G1100" i="16"/>
  <c r="J1100" i="16"/>
  <c r="H1096" i="16"/>
  <c r="I1096" i="16"/>
  <c r="G1096" i="16"/>
  <c r="F1096" i="16"/>
  <c r="J1096" i="16"/>
  <c r="E1096" i="16"/>
  <c r="G1160" i="16"/>
  <c r="I1160" i="16"/>
  <c r="H1160" i="16"/>
  <c r="E877" i="16"/>
  <c r="J1056" i="16"/>
  <c r="E689" i="16"/>
  <c r="D689" i="16"/>
  <c r="J689" i="16"/>
  <c r="H689" i="16"/>
  <c r="F689" i="16"/>
  <c r="J1270" i="16"/>
  <c r="H1270" i="16"/>
  <c r="F1270" i="16"/>
  <c r="D1270" i="16"/>
  <c r="I1270" i="16"/>
  <c r="D1216" i="16"/>
  <c r="H451" i="16"/>
  <c r="D516" i="16"/>
  <c r="I516" i="16"/>
  <c r="I1240" i="16"/>
  <c r="D1240" i="16"/>
  <c r="H1240" i="16"/>
  <c r="E945" i="16"/>
  <c r="D945" i="16"/>
  <c r="D1139" i="16"/>
  <c r="J1139" i="16"/>
  <c r="G1139" i="16"/>
  <c r="F1190" i="16"/>
  <c r="H1190" i="16"/>
  <c r="E1120" i="16"/>
  <c r="J1120" i="16"/>
  <c r="H1120" i="16"/>
  <c r="D1120" i="16"/>
  <c r="G1120" i="16"/>
  <c r="D281" i="16"/>
  <c r="I281" i="16"/>
  <c r="J281" i="16"/>
  <c r="G281" i="16"/>
  <c r="D736" i="16"/>
  <c r="F736" i="16"/>
  <c r="H736" i="16"/>
  <c r="I736" i="16"/>
  <c r="G736" i="16"/>
  <c r="G538" i="16"/>
  <c r="D538" i="16"/>
  <c r="J1237" i="16"/>
  <c r="D1237" i="16"/>
  <c r="F897" i="16"/>
  <c r="J897" i="16"/>
  <c r="D1117" i="16"/>
  <c r="G1117" i="16"/>
  <c r="D682" i="16"/>
  <c r="I682" i="16"/>
  <c r="D1217" i="16"/>
  <c r="H1217" i="16"/>
  <c r="J1217" i="16"/>
  <c r="H666" i="16"/>
  <c r="D666" i="16"/>
  <c r="J666" i="16"/>
  <c r="H696" i="16"/>
  <c r="I696" i="16"/>
  <c r="G651" i="16"/>
  <c r="E651" i="16"/>
  <c r="I1253" i="16"/>
  <c r="D1253" i="16"/>
  <c r="J565" i="16"/>
  <c r="I565" i="16"/>
  <c r="H565" i="16"/>
  <c r="E565" i="16"/>
  <c r="G565" i="16"/>
  <c r="F565" i="16"/>
  <c r="G1124" i="16"/>
  <c r="E1124" i="16"/>
  <c r="H1124" i="16"/>
  <c r="E1258" i="16"/>
  <c r="I1258" i="16"/>
  <c r="D1258" i="16"/>
  <c r="F1258" i="16"/>
  <c r="J1258" i="16"/>
  <c r="F400" i="16"/>
  <c r="I400" i="16"/>
  <c r="D400" i="16"/>
  <c r="F613" i="16"/>
  <c r="G613" i="16"/>
  <c r="H613" i="16"/>
  <c r="E613" i="16"/>
  <c r="D969" i="16"/>
  <c r="I969" i="16"/>
  <c r="H847" i="16"/>
  <c r="E847" i="16"/>
  <c r="I847" i="16"/>
  <c r="G847" i="16"/>
  <c r="D847" i="16"/>
  <c r="G1029" i="16"/>
  <c r="F1029" i="16"/>
  <c r="E1029" i="16"/>
  <c r="F1257" i="16"/>
  <c r="E1257" i="16"/>
  <c r="F1052" i="16"/>
  <c r="G1052" i="16"/>
  <c r="D1052" i="16"/>
  <c r="I1052" i="16"/>
  <c r="H1277" i="16"/>
  <c r="D770" i="16"/>
  <c r="I572" i="16"/>
  <c r="E572" i="16"/>
  <c r="G572" i="16"/>
  <c r="J572" i="16"/>
  <c r="H1001" i="16"/>
  <c r="D1001" i="16"/>
  <c r="G305" i="16"/>
  <c r="E305" i="16"/>
  <c r="J317" i="16"/>
  <c r="G317" i="16"/>
  <c r="H317" i="16"/>
  <c r="J1244" i="16"/>
  <c r="G1244" i="16"/>
  <c r="D537" i="16"/>
  <c r="H537" i="16"/>
  <c r="H756" i="16"/>
  <c r="I756" i="16"/>
  <c r="J273" i="16"/>
  <c r="F273" i="16"/>
  <c r="D273" i="16"/>
  <c r="F690" i="16"/>
  <c r="G690" i="16"/>
  <c r="I1026" i="16"/>
  <c r="G1026" i="16"/>
  <c r="F768" i="16" l="1"/>
  <c r="J639" i="16"/>
  <c r="J419" i="16"/>
  <c r="J544" i="16"/>
  <c r="D769" i="16"/>
  <c r="H787" i="16"/>
  <c r="J443" i="16"/>
  <c r="I520" i="16"/>
  <c r="I771" i="16"/>
  <c r="E1072" i="16"/>
  <c r="G440" i="16"/>
  <c r="I1208" i="16"/>
  <c r="H313" i="16"/>
  <c r="I347" i="16"/>
  <c r="I307" i="16"/>
  <c r="H440" i="16"/>
  <c r="H1037" i="16"/>
  <c r="G474" i="16"/>
  <c r="D1227" i="16"/>
  <c r="I1109" i="16"/>
  <c r="D1109" i="16"/>
  <c r="I1132" i="16"/>
  <c r="G1162" i="16"/>
  <c r="E1162" i="16"/>
  <c r="I425" i="16"/>
  <c r="D639" i="16"/>
  <c r="G1158" i="16"/>
  <c r="F769" i="16"/>
  <c r="J787" i="16"/>
  <c r="D260" i="16"/>
  <c r="J520" i="16"/>
  <c r="G1064" i="16"/>
  <c r="I1072" i="16"/>
  <c r="G459" i="16"/>
  <c r="D1208" i="16"/>
  <c r="H499" i="16"/>
  <c r="G313" i="16"/>
  <c r="G499" i="16"/>
  <c r="I1227" i="16"/>
  <c r="E1109" i="16"/>
  <c r="F313" i="16"/>
  <c r="D792" i="16"/>
  <c r="I634" i="16"/>
  <c r="D1162" i="16"/>
  <c r="D626" i="16"/>
  <c r="G1275" i="16"/>
  <c r="D425" i="16"/>
  <c r="G768" i="16"/>
  <c r="E1171" i="16"/>
  <c r="D768" i="16"/>
  <c r="J769" i="16"/>
  <c r="D1171" i="16"/>
  <c r="F1158" i="16"/>
  <c r="G544" i="16"/>
  <c r="E951" i="16"/>
  <c r="H769" i="16"/>
  <c r="G307" i="16"/>
  <c r="E520" i="16"/>
  <c r="F1064" i="16"/>
  <c r="J1072" i="16"/>
  <c r="E459" i="16"/>
  <c r="J1208" i="16"/>
  <c r="D459" i="16"/>
  <c r="D499" i="16"/>
  <c r="U499" i="16" s="1"/>
  <c r="E371" i="16"/>
  <c r="E1164" i="16"/>
  <c r="D440" i="16"/>
  <c r="D1164" i="16"/>
  <c r="E1132" i="16"/>
  <c r="G1227" i="16"/>
  <c r="J499" i="16"/>
  <c r="I499" i="16"/>
  <c r="I1008" i="16"/>
  <c r="E1064" i="16"/>
  <c r="D1132" i="16"/>
  <c r="H634" i="16"/>
  <c r="E626" i="16"/>
  <c r="I1162" i="16"/>
  <c r="G626" i="16"/>
  <c r="H768" i="16"/>
  <c r="E769" i="16"/>
  <c r="I639" i="16"/>
  <c r="H1171" i="16"/>
  <c r="E1158" i="16"/>
  <c r="H544" i="16"/>
  <c r="J608" i="16"/>
  <c r="D371" i="16"/>
  <c r="G1208" i="16"/>
  <c r="H1064" i="16"/>
  <c r="H459" i="16"/>
  <c r="F459" i="16"/>
  <c r="I1064" i="16"/>
  <c r="J1164" i="16"/>
  <c r="G347" i="16"/>
  <c r="E440" i="16"/>
  <c r="H1164" i="16"/>
  <c r="D988" i="16"/>
  <c r="D823" i="16"/>
  <c r="H1227" i="16"/>
  <c r="E499" i="16"/>
  <c r="H1008" i="16"/>
  <c r="F1072" i="16"/>
  <c r="D1064" i="16"/>
  <c r="F1132" i="16"/>
  <c r="D634" i="16"/>
  <c r="I626" i="16"/>
  <c r="F1162" i="16"/>
  <c r="G425" i="16"/>
  <c r="F1171" i="16"/>
  <c r="D1158" i="16"/>
  <c r="E976" i="16"/>
  <c r="I544" i="16"/>
  <c r="F260" i="16"/>
  <c r="D787" i="16"/>
  <c r="D608" i="16"/>
  <c r="J260" i="16"/>
  <c r="E419" i="16"/>
  <c r="F371" i="16"/>
  <c r="J810" i="16"/>
  <c r="F594" i="16"/>
  <c r="J1158" i="16"/>
  <c r="J792" i="16"/>
  <c r="J771" i="16"/>
  <c r="H792" i="16"/>
  <c r="H347" i="16"/>
  <c r="G1164" i="16"/>
  <c r="J988" i="16"/>
  <c r="J1132" i="16"/>
  <c r="H1208" i="16"/>
  <c r="G1008" i="16"/>
  <c r="G1072" i="16"/>
  <c r="E810" i="16"/>
  <c r="H1132" i="16"/>
  <c r="E634" i="16"/>
  <c r="J1162" i="16"/>
  <c r="F425" i="16"/>
  <c r="G634" i="16"/>
  <c r="J425" i="16"/>
  <c r="F639" i="16"/>
  <c r="J1040" i="16"/>
  <c r="J1171" i="16"/>
  <c r="I976" i="16"/>
  <c r="F544" i="16"/>
  <c r="G260" i="16"/>
  <c r="G608" i="16"/>
  <c r="H608" i="16"/>
  <c r="E787" i="16"/>
  <c r="I260" i="16"/>
  <c r="G371" i="16"/>
  <c r="H810" i="16"/>
  <c r="G594" i="16"/>
  <c r="I1158" i="16"/>
  <c r="I459" i="16"/>
  <c r="D771" i="16"/>
  <c r="I792" i="16"/>
  <c r="H988" i="16"/>
  <c r="F347" i="16"/>
  <c r="F1164" i="16"/>
  <c r="I988" i="16"/>
  <c r="F474" i="16"/>
  <c r="E347" i="16"/>
  <c r="F1227" i="16"/>
  <c r="E1208" i="16"/>
  <c r="J768" i="16"/>
  <c r="J1008" i="16"/>
  <c r="E792" i="16"/>
  <c r="J634" i="16"/>
  <c r="E425" i="16"/>
  <c r="U425" i="16" s="1"/>
  <c r="E594" i="16"/>
  <c r="E441" i="16"/>
  <c r="I1171" i="16"/>
  <c r="J875" i="16"/>
  <c r="I769" i="16"/>
  <c r="F787" i="16"/>
  <c r="E260" i="16"/>
  <c r="H771" i="16"/>
  <c r="I371" i="16"/>
  <c r="I313" i="16"/>
  <c r="E771" i="16"/>
  <c r="F792" i="16"/>
  <c r="D347" i="16"/>
  <c r="F988" i="16"/>
  <c r="D474" i="16"/>
  <c r="U474" i="16" s="1"/>
  <c r="J474" i="16"/>
  <c r="E1008" i="16"/>
  <c r="E823" i="16"/>
  <c r="I440" i="16"/>
  <c r="Y1207" i="16"/>
  <c r="F626" i="16"/>
  <c r="J697" i="16"/>
  <c r="C12" i="10"/>
  <c r="H61" i="10"/>
  <c r="C4" i="10"/>
  <c r="D338" i="16"/>
  <c r="H1139" i="16"/>
  <c r="F441" i="16"/>
  <c r="E1040" i="16"/>
  <c r="H875" i="16"/>
  <c r="I1069" i="16"/>
  <c r="J990" i="16"/>
  <c r="H849" i="16"/>
  <c r="F330" i="16"/>
  <c r="H739" i="16"/>
  <c r="G959" i="16"/>
  <c r="E715" i="16"/>
  <c r="I451" i="16"/>
  <c r="D419" i="16"/>
  <c r="G265" i="16"/>
  <c r="H1074" i="16"/>
  <c r="I388" i="16"/>
  <c r="J506" i="16"/>
  <c r="F1074" i="16"/>
  <c r="D1202" i="16"/>
  <c r="J1219" i="16"/>
  <c r="J642" i="16"/>
  <c r="E642" i="16"/>
  <c r="F428" i="16"/>
  <c r="J384" i="16"/>
  <c r="G1081" i="16"/>
  <c r="E338" i="16"/>
  <c r="D1140" i="16"/>
  <c r="J527" i="16"/>
  <c r="H1219" i="16"/>
  <c r="D1219" i="16"/>
  <c r="U1219" i="16" s="1"/>
  <c r="E282" i="16"/>
  <c r="F527" i="16"/>
  <c r="I527" i="16"/>
  <c r="F696" i="16"/>
  <c r="I1139" i="16"/>
  <c r="H1051" i="16"/>
  <c r="J441" i="16"/>
  <c r="F1040" i="16"/>
  <c r="D1069" i="16"/>
  <c r="U1069" i="16" s="1"/>
  <c r="F990" i="16"/>
  <c r="J1154" i="16"/>
  <c r="D911" i="16"/>
  <c r="J739" i="16"/>
  <c r="G715" i="16"/>
  <c r="H321" i="16"/>
  <c r="I419" i="16"/>
  <c r="D265" i="16"/>
  <c r="U265" i="16" s="1"/>
  <c r="F506" i="16"/>
  <c r="D1074" i="16"/>
  <c r="U1074" i="16" s="1"/>
  <c r="I1202" i="16"/>
  <c r="I850" i="16"/>
  <c r="E384" i="16"/>
  <c r="H895" i="16"/>
  <c r="E990" i="16"/>
  <c r="U990" i="16" s="1"/>
  <c r="D1081" i="16"/>
  <c r="F338" i="16"/>
  <c r="F1140" i="16"/>
  <c r="D282" i="16"/>
  <c r="J282" i="16"/>
  <c r="I1051" i="16"/>
  <c r="J945" i="16"/>
  <c r="D612" i="16"/>
  <c r="U612" i="16" s="1"/>
  <c r="F945" i="16"/>
  <c r="I612" i="16"/>
  <c r="G612" i="16"/>
  <c r="I441" i="16"/>
  <c r="I1040" i="16"/>
  <c r="E1202" i="16"/>
  <c r="U1202" i="16" s="1"/>
  <c r="I739" i="16"/>
  <c r="H715" i="16"/>
  <c r="J451" i="16"/>
  <c r="D321" i="16"/>
  <c r="U321" i="16" s="1"/>
  <c r="H432" i="16"/>
  <c r="G506" i="16"/>
  <c r="F388" i="16"/>
  <c r="D388" i="16"/>
  <c r="H850" i="16"/>
  <c r="I418" i="16"/>
  <c r="F850" i="16"/>
  <c r="D297" i="16"/>
  <c r="I384" i="16"/>
  <c r="J895" i="16"/>
  <c r="I1081" i="16"/>
  <c r="H338" i="16"/>
  <c r="H1140" i="16"/>
  <c r="D418" i="16"/>
  <c r="I282" i="16"/>
  <c r="G945" i="16"/>
  <c r="G1051" i="16"/>
  <c r="H945" i="16"/>
  <c r="E799" i="16"/>
  <c r="J612" i="16"/>
  <c r="D441" i="16"/>
  <c r="D1040" i="16"/>
  <c r="H1202" i="16"/>
  <c r="G1069" i="16"/>
  <c r="I911" i="16"/>
  <c r="J715" i="16"/>
  <c r="H428" i="16"/>
  <c r="D432" i="16"/>
  <c r="E388" i="16"/>
  <c r="D850" i="16"/>
  <c r="U850" i="16" s="1"/>
  <c r="E895" i="16"/>
  <c r="D959" i="16"/>
  <c r="U959" i="16" s="1"/>
  <c r="F1089" i="16"/>
  <c r="H1081" i="16"/>
  <c r="G282" i="16"/>
  <c r="E1140" i="16"/>
  <c r="U1140" i="16" s="1"/>
  <c r="G418" i="16"/>
  <c r="J696" i="16"/>
  <c r="D1051" i="16"/>
  <c r="E696" i="16"/>
  <c r="U696" i="16" s="1"/>
  <c r="G799" i="16"/>
  <c r="H441" i="16"/>
  <c r="H1040" i="16"/>
  <c r="F1202" i="16"/>
  <c r="F799" i="16"/>
  <c r="G451" i="16"/>
  <c r="G428" i="16"/>
  <c r="E432" i="16"/>
  <c r="J1074" i="16"/>
  <c r="H388" i="16"/>
  <c r="G850" i="16"/>
  <c r="H297" i="16"/>
  <c r="H642" i="16"/>
  <c r="F297" i="16"/>
  <c r="F895" i="16"/>
  <c r="J959" i="16"/>
  <c r="G1089" i="16"/>
  <c r="F282" i="16"/>
  <c r="J1140" i="16"/>
  <c r="F418" i="16"/>
  <c r="G338" i="16"/>
  <c r="F419" i="16"/>
  <c r="I959" i="16"/>
  <c r="H419" i="16"/>
  <c r="D428" i="16"/>
  <c r="U428" i="16" s="1"/>
  <c r="G388" i="16"/>
  <c r="F451" i="16"/>
  <c r="F642" i="16"/>
  <c r="J297" i="16"/>
  <c r="I1074" i="16"/>
  <c r="J432" i="16"/>
  <c r="J1089" i="16"/>
  <c r="E1081" i="16"/>
  <c r="J850" i="16"/>
  <c r="F384" i="16"/>
  <c r="E1051" i="16"/>
  <c r="I506" i="16"/>
  <c r="D384" i="16"/>
  <c r="D895" i="16"/>
  <c r="U895" i="16" s="1"/>
  <c r="G432" i="16"/>
  <c r="D1089" i="16"/>
  <c r="E1155" i="16"/>
  <c r="U1155" i="16" s="1"/>
  <c r="S958" i="16"/>
  <c r="G958" i="16" s="1"/>
  <c r="S1255" i="16"/>
  <c r="G1255" i="16" s="1"/>
  <c r="S1215" i="16"/>
  <c r="G1215" i="16" s="1"/>
  <c r="Y1215" i="16"/>
  <c r="Y1167" i="16"/>
  <c r="S1167" i="16"/>
  <c r="G1167" i="16" s="1"/>
  <c r="G1095" i="16"/>
  <c r="D1095" i="16"/>
  <c r="E1095" i="16"/>
  <c r="I1095" i="16"/>
  <c r="H1095" i="16"/>
  <c r="J1095" i="16"/>
  <c r="F1095" i="16"/>
  <c r="Y1047" i="16"/>
  <c r="S1047" i="16"/>
  <c r="S999" i="16"/>
  <c r="G999" i="16" s="1"/>
  <c r="Y999" i="16"/>
  <c r="S942" i="16"/>
  <c r="Y942" i="16"/>
  <c r="S894" i="16"/>
  <c r="G894" i="16" s="1"/>
  <c r="Y894" i="16"/>
  <c r="S838" i="16"/>
  <c r="G838" i="16" s="1"/>
  <c r="Y838" i="16"/>
  <c r="I774" i="16"/>
  <c r="J774" i="16"/>
  <c r="E774" i="16"/>
  <c r="F774" i="16"/>
  <c r="H774" i="16"/>
  <c r="D774" i="16"/>
  <c r="S726" i="16"/>
  <c r="G726" i="16" s="1"/>
  <c r="S678" i="16"/>
  <c r="Y678" i="16"/>
  <c r="S638" i="16"/>
  <c r="G638" i="16" s="1"/>
  <c r="S598" i="16"/>
  <c r="G598" i="16" s="1"/>
  <c r="Y598" i="16"/>
  <c r="Y566" i="16"/>
  <c r="S566" i="16"/>
  <c r="G566" i="16"/>
  <c r="S518" i="16"/>
  <c r="G518" i="16" s="1"/>
  <c r="S470" i="16"/>
  <c r="Y470" i="16"/>
  <c r="Y374" i="16"/>
  <c r="S374" i="16"/>
  <c r="F374" i="16" s="1"/>
  <c r="S326" i="16"/>
  <c r="G326" i="16" s="1"/>
  <c r="Y326" i="16"/>
  <c r="S278" i="16"/>
  <c r="G278" i="16" s="1"/>
  <c r="Y278" i="16"/>
  <c r="S1271" i="16"/>
  <c r="G1271" i="16" s="1"/>
  <c r="Y1271" i="16"/>
  <c r="S1223" i="16"/>
  <c r="G1223" i="16" s="1"/>
  <c r="Y1223" i="16"/>
  <c r="S1183" i="16"/>
  <c r="G1183" i="16" s="1"/>
  <c r="Y1135" i="16"/>
  <c r="S1135" i="16"/>
  <c r="G1135" i="16" s="1"/>
  <c r="G1087" i="16"/>
  <c r="F1087" i="16"/>
  <c r="I1087" i="16"/>
  <c r="E1087" i="16"/>
  <c r="D1087" i="16"/>
  <c r="H1087" i="16"/>
  <c r="S1039" i="16"/>
  <c r="Y1039" i="16"/>
  <c r="S983" i="16"/>
  <c r="G983" i="16" s="1"/>
  <c r="Y983" i="16"/>
  <c r="S926" i="16"/>
  <c r="G926" i="16" s="1"/>
  <c r="S878" i="16"/>
  <c r="Y878" i="16"/>
  <c r="Y830" i="16"/>
  <c r="S790" i="16"/>
  <c r="G790" i="16" s="1"/>
  <c r="Y742" i="16"/>
  <c r="S742" i="16"/>
  <c r="S694" i="16"/>
  <c r="S646" i="16"/>
  <c r="G646" i="16"/>
  <c r="S590" i="16"/>
  <c r="G590" i="16" s="1"/>
  <c r="S542" i="16"/>
  <c r="Y542" i="16"/>
  <c r="S494" i="16"/>
  <c r="Y494" i="16"/>
  <c r="S446" i="16"/>
  <c r="G446" i="16" s="1"/>
  <c r="S398" i="16"/>
  <c r="Y398" i="16"/>
  <c r="S350" i="16"/>
  <c r="G350" i="16" s="1"/>
  <c r="S294" i="16"/>
  <c r="G294" i="16" s="1"/>
  <c r="Y294" i="16"/>
  <c r="G1207" i="16"/>
  <c r="G662" i="16"/>
  <c r="S1247" i="16"/>
  <c r="G1247" i="16" s="1"/>
  <c r="Y1247" i="16"/>
  <c r="S1199" i="16"/>
  <c r="Y1199" i="16"/>
  <c r="S1159" i="16"/>
  <c r="G1159" i="16" s="1"/>
  <c r="S1119" i="16"/>
  <c r="G1119" i="16" s="1"/>
  <c r="S1071" i="16"/>
  <c r="G1071" i="16" s="1"/>
  <c r="S1023" i="16"/>
  <c r="G1023" i="16" s="1"/>
  <c r="Y1023" i="16"/>
  <c r="S975" i="16"/>
  <c r="G975" i="16" s="1"/>
  <c r="Y975" i="16"/>
  <c r="S918" i="16"/>
  <c r="G918" i="16" s="1"/>
  <c r="S870" i="16"/>
  <c r="G870" i="16" s="1"/>
  <c r="G814" i="16"/>
  <c r="I814" i="16"/>
  <c r="F814" i="16"/>
  <c r="D814" i="16"/>
  <c r="S766" i="16"/>
  <c r="G766" i="16" s="1"/>
  <c r="S710" i="16"/>
  <c r="G710" i="16" s="1"/>
  <c r="Y710" i="16"/>
  <c r="S670" i="16"/>
  <c r="G670" i="16" s="1"/>
  <c r="Y670" i="16"/>
  <c r="S622" i="16"/>
  <c r="G622" i="16" s="1"/>
  <c r="S582" i="16"/>
  <c r="G582" i="16" s="1"/>
  <c r="Y582" i="16"/>
  <c r="S534" i="16"/>
  <c r="G534" i="16" s="1"/>
  <c r="S478" i="16"/>
  <c r="G478" i="16" s="1"/>
  <c r="S430" i="16"/>
  <c r="G430" i="16" s="1"/>
  <c r="Y430" i="16"/>
  <c r="S382" i="16"/>
  <c r="Y382" i="16"/>
  <c r="G382" i="16"/>
  <c r="Y334" i="16"/>
  <c r="S334" i="16"/>
  <c r="S286" i="16"/>
  <c r="G286" i="16" s="1"/>
  <c r="Y286" i="16"/>
  <c r="J1087" i="16"/>
  <c r="G398" i="16"/>
  <c r="S1263" i="16"/>
  <c r="G1263" i="16" s="1"/>
  <c r="S1239" i="16"/>
  <c r="G1239" i="16" s="1"/>
  <c r="Y1239" i="16"/>
  <c r="S1191" i="16"/>
  <c r="Y1191" i="16"/>
  <c r="G1191" i="16"/>
  <c r="S1143" i="16"/>
  <c r="G1143" i="16"/>
  <c r="S1103" i="16"/>
  <c r="G1103" i="16" s="1"/>
  <c r="S1055" i="16"/>
  <c r="G1055" i="16" s="1"/>
  <c r="S1007" i="16"/>
  <c r="G1007" i="16" s="1"/>
  <c r="Y1007" i="16"/>
  <c r="S910" i="16"/>
  <c r="F910" i="16" s="1"/>
  <c r="Y910" i="16"/>
  <c r="S862" i="16"/>
  <c r="Y862" i="16"/>
  <c r="S782" i="16"/>
  <c r="G782" i="16"/>
  <c r="Y734" i="16"/>
  <c r="S734" i="16"/>
  <c r="S686" i="16"/>
  <c r="G686" i="16" s="1"/>
  <c r="Y686" i="16"/>
  <c r="S510" i="16"/>
  <c r="G510" i="16" s="1"/>
  <c r="S462" i="16"/>
  <c r="G462" i="16" s="1"/>
  <c r="S366" i="16"/>
  <c r="G366" i="16" s="1"/>
  <c r="Y366" i="16"/>
  <c r="S318" i="16"/>
  <c r="G318" i="16" s="1"/>
  <c r="Y318" i="16"/>
  <c r="G1231" i="16"/>
  <c r="E1231" i="16"/>
  <c r="S1175" i="16"/>
  <c r="G1175" i="16" s="1"/>
  <c r="S1127" i="16"/>
  <c r="S1079" i="16"/>
  <c r="G1079" i="16" s="1"/>
  <c r="S1031" i="16"/>
  <c r="G1031" i="16" s="1"/>
  <c r="S991" i="16"/>
  <c r="G991" i="16" s="1"/>
  <c r="S934" i="16"/>
  <c r="S886" i="16"/>
  <c r="G886" i="16"/>
  <c r="S846" i="16"/>
  <c r="G846" i="16" s="1"/>
  <c r="S798" i="16"/>
  <c r="G798" i="16" s="1"/>
  <c r="S750" i="16"/>
  <c r="Y750" i="16"/>
  <c r="S702" i="16"/>
  <c r="G702" i="16" s="1"/>
  <c r="Y702" i="16"/>
  <c r="S654" i="16"/>
  <c r="G654" i="16" s="1"/>
  <c r="S606" i="16"/>
  <c r="Y606" i="16"/>
  <c r="G550" i="16"/>
  <c r="D550" i="16"/>
  <c r="H550" i="16"/>
  <c r="I550" i="16"/>
  <c r="E550" i="16"/>
  <c r="J550" i="16"/>
  <c r="F550" i="16"/>
  <c r="S454" i="16"/>
  <c r="G454" i="16" s="1"/>
  <c r="S390" i="16"/>
  <c r="G390" i="16" s="1"/>
  <c r="Y390" i="16"/>
  <c r="S342" i="16"/>
  <c r="G342" i="16" s="1"/>
  <c r="Y342" i="16"/>
  <c r="S302" i="16"/>
  <c r="G302" i="16" s="1"/>
  <c r="Y302" i="16"/>
  <c r="G862" i="16"/>
  <c r="G1189" i="16"/>
  <c r="E1189" i="16"/>
  <c r="D1189" i="16"/>
  <c r="J1189" i="16"/>
  <c r="I1189" i="16"/>
  <c r="H1189" i="16"/>
  <c r="S830" i="16"/>
  <c r="S1280" i="16"/>
  <c r="G1280" i="16" s="1"/>
  <c r="F1207" i="16"/>
  <c r="I1207" i="16"/>
  <c r="H1207" i="16"/>
  <c r="J1207" i="16"/>
  <c r="E1207" i="16"/>
  <c r="D1207" i="16"/>
  <c r="S1151" i="16"/>
  <c r="G1151" i="16" s="1"/>
  <c r="Y1151" i="16"/>
  <c r="S1111" i="16"/>
  <c r="G1111" i="16" s="1"/>
  <c r="Y1111" i="16"/>
  <c r="Y1063" i="16"/>
  <c r="S1063" i="16"/>
  <c r="G1063" i="16" s="1"/>
  <c r="S1015" i="16"/>
  <c r="G1015" i="16" s="1"/>
  <c r="Y1015" i="16"/>
  <c r="S967" i="16"/>
  <c r="Y967" i="16"/>
  <c r="S902" i="16"/>
  <c r="G902" i="16" s="1"/>
  <c r="S854" i="16"/>
  <c r="Y854" i="16"/>
  <c r="S806" i="16"/>
  <c r="G806" i="16" s="1"/>
  <c r="S758" i="16"/>
  <c r="Y758" i="16"/>
  <c r="S718" i="16"/>
  <c r="G718" i="16" s="1"/>
  <c r="F662" i="16"/>
  <c r="J662" i="16"/>
  <c r="H662" i="16"/>
  <c r="D662" i="16"/>
  <c r="E662" i="16"/>
  <c r="S614" i="16"/>
  <c r="G614" i="16" s="1"/>
  <c r="Y574" i="16"/>
  <c r="S574" i="16"/>
  <c r="G574" i="16" s="1"/>
  <c r="S526" i="16"/>
  <c r="G526" i="16" s="1"/>
  <c r="S486" i="16"/>
  <c r="Y486" i="16"/>
  <c r="Y438" i="16"/>
  <c r="S438" i="16"/>
  <c r="S406" i="16"/>
  <c r="G406" i="16" s="1"/>
  <c r="S358" i="16"/>
  <c r="G358" i="16" s="1"/>
  <c r="S310" i="16"/>
  <c r="Y310" i="16"/>
  <c r="S262" i="16"/>
  <c r="G262" i="16" s="1"/>
  <c r="I662" i="16"/>
  <c r="Y1079" i="16"/>
  <c r="H743" i="16"/>
  <c r="I743" i="16"/>
  <c r="J743" i="16"/>
  <c r="H753" i="16"/>
  <c r="D753" i="16"/>
  <c r="G753" i="16"/>
  <c r="F753" i="16"/>
  <c r="E753" i="16"/>
  <c r="G380" i="16"/>
  <c r="D746" i="16"/>
  <c r="G407" i="16"/>
  <c r="J753" i="16"/>
  <c r="E607" i="16"/>
  <c r="F607" i="16"/>
  <c r="J607" i="16"/>
  <c r="I607" i="16"/>
  <c r="H607" i="16"/>
  <c r="G607" i="16"/>
  <c r="D607" i="16"/>
  <c r="J380" i="16"/>
  <c r="I407" i="16"/>
  <c r="G299" i="16"/>
  <c r="I299" i="16"/>
  <c r="H500" i="16"/>
  <c r="G500" i="16"/>
  <c r="I500" i="16"/>
  <c r="E500" i="16"/>
  <c r="U500" i="16" s="1"/>
  <c r="I556" i="16"/>
  <c r="H556" i="16"/>
  <c r="G514" i="16"/>
  <c r="D514" i="16"/>
  <c r="I514" i="16"/>
  <c r="F514" i="16"/>
  <c r="E514" i="16"/>
  <c r="I803" i="16"/>
  <c r="F407" i="16"/>
  <c r="G746" i="16"/>
  <c r="I753" i="16"/>
  <c r="F380" i="16"/>
  <c r="F803" i="16"/>
  <c r="E407" i="16"/>
  <c r="U407" i="16" s="1"/>
  <c r="D380" i="16"/>
  <c r="U380" i="16" s="1"/>
  <c r="E746" i="16"/>
  <c r="F743" i="16"/>
  <c r="D803" i="16"/>
  <c r="E743" i="16"/>
  <c r="J746" i="16"/>
  <c r="D743" i="16"/>
  <c r="H803" i="16"/>
  <c r="F519" i="16"/>
  <c r="H519" i="16"/>
  <c r="E519" i="16"/>
  <c r="U519" i="16" s="1"/>
  <c r="E297" i="16"/>
  <c r="I297" i="16"/>
  <c r="D1201" i="16"/>
  <c r="U1201" i="16" s="1"/>
  <c r="Y1263" i="16"/>
  <c r="Y1255" i="16"/>
  <c r="Y1183" i="16"/>
  <c r="Y1175" i="16"/>
  <c r="Y1143" i="16"/>
  <c r="Y1127" i="16"/>
  <c r="Y1103" i="16"/>
  <c r="Y1095" i="16"/>
  <c r="Y1087" i="16"/>
  <c r="Y1071" i="16"/>
  <c r="Y1055" i="16"/>
  <c r="Y991" i="16"/>
  <c r="Y958" i="16"/>
  <c r="Y934" i="16"/>
  <c r="Y926" i="16"/>
  <c r="Y918" i="16"/>
  <c r="Y902" i="16"/>
  <c r="Y886" i="16"/>
  <c r="Y870" i="16"/>
  <c r="Y846" i="16"/>
  <c r="Y790" i="16"/>
  <c r="Y782" i="16"/>
  <c r="Y774" i="16"/>
  <c r="Y766" i="16"/>
  <c r="Y726" i="16"/>
  <c r="Y718" i="16"/>
  <c r="Y662" i="16"/>
  <c r="Y654" i="16"/>
  <c r="Y646" i="16"/>
  <c r="Y638" i="16"/>
  <c r="Y630" i="16"/>
  <c r="Y622" i="16"/>
  <c r="Y614" i="16"/>
  <c r="Y558" i="16"/>
  <c r="Y550" i="16"/>
  <c r="Y534" i="16"/>
  <c r="Y462" i="16"/>
  <c r="Y454" i="16"/>
  <c r="Y446" i="16"/>
  <c r="Y406" i="16"/>
  <c r="Y358" i="16"/>
  <c r="Y350" i="16"/>
  <c r="Y262" i="16"/>
  <c r="Y1230" i="16"/>
  <c r="Y1118" i="16"/>
  <c r="Y990" i="16"/>
  <c r="Y965" i="16"/>
  <c r="Y549" i="16"/>
  <c r="D683" i="16"/>
  <c r="U683" i="16" s="1"/>
  <c r="Y1181" i="16"/>
  <c r="Y1037" i="16"/>
  <c r="Y900" i="16"/>
  <c r="Y836" i="16"/>
  <c r="J1192" i="16"/>
  <c r="G1192" i="16"/>
  <c r="D1192" i="16"/>
  <c r="F1192" i="16"/>
  <c r="H1192" i="16"/>
  <c r="E1192" i="16"/>
  <c r="I1192" i="16"/>
  <c r="D640" i="16"/>
  <c r="F640" i="16"/>
  <c r="H640" i="16"/>
  <c r="E640" i="16"/>
  <c r="I924" i="16"/>
  <c r="F924" i="16"/>
  <c r="G1221" i="16"/>
  <c r="F1221" i="16"/>
  <c r="E911" i="16"/>
  <c r="J911" i="16"/>
  <c r="F778" i="16"/>
  <c r="E778" i="16"/>
  <c r="G778" i="16"/>
  <c r="D778" i="16"/>
  <c r="J640" i="16"/>
  <c r="E1195" i="16"/>
  <c r="U1195" i="16" s="1"/>
  <c r="J1195" i="16"/>
  <c r="G530" i="16"/>
  <c r="J530" i="16"/>
  <c r="G837" i="16"/>
  <c r="J837" i="16"/>
  <c r="E837" i="16"/>
  <c r="U837" i="16" s="1"/>
  <c r="D566" i="16"/>
  <c r="J566" i="16"/>
  <c r="I351" i="16"/>
  <c r="F351" i="16"/>
  <c r="J351" i="16"/>
  <c r="H351" i="16"/>
  <c r="D351" i="16"/>
  <c r="U351" i="16" s="1"/>
  <c r="I1236" i="16"/>
  <c r="D1236" i="16"/>
  <c r="U1236" i="16" s="1"/>
  <c r="S1279" i="16"/>
  <c r="Y1279" i="16"/>
  <c r="S1278" i="16"/>
  <c r="G1278" i="16" s="1"/>
  <c r="S1262" i="16"/>
  <c r="S1254" i="16"/>
  <c r="G1254" i="16" s="1"/>
  <c r="S1246" i="16"/>
  <c r="Y1246" i="16"/>
  <c r="S1238" i="16"/>
  <c r="G1238" i="16" s="1"/>
  <c r="Y1238" i="16"/>
  <c r="S1206" i="16"/>
  <c r="G1206" i="16" s="1"/>
  <c r="Y1206" i="16"/>
  <c r="S1174" i="16"/>
  <c r="Y1174" i="16"/>
  <c r="S1150" i="16"/>
  <c r="G1150" i="16" s="1"/>
  <c r="Y1150" i="16"/>
  <c r="S1142" i="16"/>
  <c r="Y1142" i="16"/>
  <c r="S1134" i="16"/>
  <c r="G1134" i="16" s="1"/>
  <c r="S1126" i="16"/>
  <c r="Y1126" i="16"/>
  <c r="Y1110" i="16"/>
  <c r="S1110" i="16"/>
  <c r="S1102" i="16"/>
  <c r="Y1102" i="16"/>
  <c r="S1094" i="16"/>
  <c r="G1094" i="16" s="1"/>
  <c r="Y1094" i="16"/>
  <c r="S1086" i="16"/>
  <c r="G1086" i="16" s="1"/>
  <c r="Y1086" i="16"/>
  <c r="S1078" i="16"/>
  <c r="Y1078" i="16"/>
  <c r="S1070" i="16"/>
  <c r="G1070" i="16" s="1"/>
  <c r="Y1070" i="16"/>
  <c r="S1062" i="16"/>
  <c r="Y1062" i="16"/>
  <c r="S1054" i="16"/>
  <c r="G1054" i="16"/>
  <c r="S1046" i="16"/>
  <c r="Y1046" i="16"/>
  <c r="S1038" i="16"/>
  <c r="Y1038" i="16"/>
  <c r="S1014" i="16"/>
  <c r="Y1014" i="16"/>
  <c r="F1006" i="16"/>
  <c r="D1006" i="16"/>
  <c r="U1006" i="16" s="1"/>
  <c r="J1006" i="16"/>
  <c r="I1006" i="16"/>
  <c r="S998" i="16"/>
  <c r="G998" i="16" s="1"/>
  <c r="Y998" i="16"/>
  <c r="D982" i="16"/>
  <c r="U982" i="16" s="1"/>
  <c r="H982" i="16"/>
  <c r="I982" i="16"/>
  <c r="J982" i="16"/>
  <c r="F982" i="16"/>
  <c r="S974" i="16"/>
  <c r="Y974" i="16"/>
  <c r="S949" i="16"/>
  <c r="Y949" i="16"/>
  <c r="S941" i="16"/>
  <c r="Y941" i="16"/>
  <c r="S925" i="16"/>
  <c r="Y925" i="16"/>
  <c r="S901" i="16"/>
  <c r="G901" i="16" s="1"/>
  <c r="Y901" i="16"/>
  <c r="S893" i="16"/>
  <c r="G893" i="16" s="1"/>
  <c r="S861" i="16"/>
  <c r="Y861" i="16"/>
  <c r="S853" i="16"/>
  <c r="G853" i="16" s="1"/>
  <c r="Y853" i="16"/>
  <c r="S845" i="16"/>
  <c r="Y845" i="16"/>
  <c r="S821" i="16"/>
  <c r="Y821" i="16"/>
  <c r="S813" i="16"/>
  <c r="Y813" i="16"/>
  <c r="S805" i="16"/>
  <c r="G805" i="16" s="1"/>
  <c r="S773" i="16"/>
  <c r="Y773" i="16"/>
  <c r="I765" i="16"/>
  <c r="F765" i="16"/>
  <c r="E765" i="16"/>
  <c r="U765" i="16" s="1"/>
  <c r="S749" i="16"/>
  <c r="G749" i="16" s="1"/>
  <c r="S741" i="16"/>
  <c r="Y741" i="16"/>
  <c r="S717" i="16"/>
  <c r="D709" i="16"/>
  <c r="I709" i="16"/>
  <c r="F709" i="16"/>
  <c r="E709" i="16"/>
  <c r="F701" i="16"/>
  <c r="H701" i="16"/>
  <c r="S693" i="16"/>
  <c r="S685" i="16"/>
  <c r="Y685" i="16"/>
  <c r="S677" i="16"/>
  <c r="G677" i="16" s="1"/>
  <c r="Y677" i="16"/>
  <c r="D669" i="16"/>
  <c r="E669" i="16"/>
  <c r="F669" i="16"/>
  <c r="S661" i="16"/>
  <c r="Y661" i="16"/>
  <c r="S653" i="16"/>
  <c r="Y653" i="16"/>
  <c r="S637" i="16"/>
  <c r="G637" i="16" s="1"/>
  <c r="Y637" i="16"/>
  <c r="S629" i="16"/>
  <c r="S621" i="16"/>
  <c r="Y621" i="16"/>
  <c r="I613" i="16"/>
  <c r="D613" i="16"/>
  <c r="J613" i="16"/>
  <c r="D605" i="16"/>
  <c r="U605" i="16" s="1"/>
  <c r="J605" i="16"/>
  <c r="S597" i="16"/>
  <c r="Y597" i="16"/>
  <c r="S573" i="16"/>
  <c r="G573" i="16" s="1"/>
  <c r="S541" i="16"/>
  <c r="G541" i="16" s="1"/>
  <c r="Y525" i="16"/>
  <c r="S525" i="16"/>
  <c r="I525" i="16" s="1"/>
  <c r="S509" i="16"/>
  <c r="Y509" i="16"/>
  <c r="S501" i="16"/>
  <c r="G501" i="16" s="1"/>
  <c r="S493" i="16"/>
  <c r="Y493" i="16"/>
  <c r="S477" i="16"/>
  <c r="Y477" i="16"/>
  <c r="I469" i="16"/>
  <c r="J469" i="16"/>
  <c r="Y461" i="16"/>
  <c r="S461" i="16"/>
  <c r="E445" i="16"/>
  <c r="J445" i="16"/>
  <c r="G429" i="16"/>
  <c r="E429" i="16"/>
  <c r="H429" i="16"/>
  <c r="D429" i="16"/>
  <c r="F429" i="16"/>
  <c r="J429" i="16"/>
  <c r="I429" i="16"/>
  <c r="S421" i="16"/>
  <c r="Y421" i="16"/>
  <c r="I405" i="16"/>
  <c r="D405" i="16"/>
  <c r="E405" i="16"/>
  <c r="H405" i="16"/>
  <c r="S397" i="16"/>
  <c r="J389" i="16"/>
  <c r="D389" i="16"/>
  <c r="S381" i="16"/>
  <c r="S373" i="16"/>
  <c r="Y373" i="16"/>
  <c r="S365" i="16"/>
  <c r="Y365" i="16"/>
  <c r="S357" i="16"/>
  <c r="Y357" i="16"/>
  <c r="S349" i="16"/>
  <c r="G349" i="16" s="1"/>
  <c r="S341" i="16"/>
  <c r="G341" i="16" s="1"/>
  <c r="Y341" i="16"/>
  <c r="S309" i="16"/>
  <c r="Y309" i="16"/>
  <c r="S277" i="16"/>
  <c r="G277" i="16" s="1"/>
  <c r="Y277" i="16"/>
  <c r="E261" i="16"/>
  <c r="U261" i="16" s="1"/>
  <c r="J261" i="16"/>
  <c r="I261" i="16"/>
  <c r="F261" i="16"/>
  <c r="I273" i="16"/>
  <c r="F711" i="16"/>
  <c r="H711" i="16"/>
  <c r="G601" i="16"/>
  <c r="J601" i="16"/>
  <c r="F601" i="16"/>
  <c r="E601" i="16"/>
  <c r="U601" i="16" s="1"/>
  <c r="I432" i="16"/>
  <c r="D965" i="16"/>
  <c r="I965" i="16"/>
  <c r="H965" i="16"/>
  <c r="G273" i="16"/>
  <c r="S1230" i="16"/>
  <c r="S1030" i="16"/>
  <c r="J1109" i="16"/>
  <c r="F1109" i="16"/>
  <c r="J815" i="16"/>
  <c r="E965" i="16"/>
  <c r="H273" i="16"/>
  <c r="G1046" i="16"/>
  <c r="E366" i="16"/>
  <c r="J366" i="16"/>
  <c r="I366" i="16"/>
  <c r="D366" i="16"/>
  <c r="G393" i="16"/>
  <c r="H393" i="16"/>
  <c r="D393" i="16"/>
  <c r="U393" i="16" s="1"/>
  <c r="J393" i="16"/>
  <c r="I810" i="16"/>
  <c r="D810" i="16"/>
  <c r="J790" i="16"/>
  <c r="F790" i="16"/>
  <c r="J1261" i="16"/>
  <c r="G1261" i="16"/>
  <c r="J545" i="16"/>
  <c r="E545" i="16"/>
  <c r="D545" i="16"/>
  <c r="F545" i="16"/>
  <c r="H545" i="16"/>
  <c r="F1080" i="16"/>
  <c r="J1080" i="16"/>
  <c r="G1287" i="16"/>
  <c r="H1287" i="16"/>
  <c r="G1205" i="16"/>
  <c r="G1125" i="16"/>
  <c r="I1125" i="16"/>
  <c r="G973" i="16"/>
  <c r="E973" i="16"/>
  <c r="J973" i="16"/>
  <c r="G964" i="16"/>
  <c r="I964" i="16"/>
  <c r="D964" i="16"/>
  <c r="F964" i="16"/>
  <c r="H964" i="16"/>
  <c r="H956" i="16"/>
  <c r="J956" i="16"/>
  <c r="I956" i="16"/>
  <c r="I644" i="16"/>
  <c r="F644" i="16"/>
  <c r="G644" i="16"/>
  <c r="H572" i="16"/>
  <c r="F572" i="16"/>
  <c r="J436" i="16"/>
  <c r="D358" i="16"/>
  <c r="J358" i="16"/>
  <c r="J305" i="16"/>
  <c r="H305" i="16"/>
  <c r="F831" i="16"/>
  <c r="I831" i="16"/>
  <c r="G831" i="16"/>
  <c r="J831" i="16"/>
  <c r="D831" i="16"/>
  <c r="I1080" i="16"/>
  <c r="D591" i="16"/>
  <c r="H591" i="16"/>
  <c r="I926" i="16"/>
  <c r="F926" i="16"/>
  <c r="E932" i="16"/>
  <c r="U932" i="16" s="1"/>
  <c r="Y860" i="16"/>
  <c r="J981" i="16"/>
  <c r="S900" i="16"/>
  <c r="Y932" i="16"/>
  <c r="Y820" i="16"/>
  <c r="Y468" i="16"/>
  <c r="Y1262" i="16"/>
  <c r="Y1254" i="16"/>
  <c r="Y1214" i="16"/>
  <c r="Y885" i="16"/>
  <c r="Y733" i="16"/>
  <c r="Y725" i="16"/>
  <c r="Y717" i="16"/>
  <c r="Y573" i="16"/>
  <c r="Y565" i="16"/>
  <c r="Y557" i="16"/>
  <c r="Y541" i="16"/>
  <c r="Y453" i="16"/>
  <c r="Y445" i="16"/>
  <c r="Y437" i="16"/>
  <c r="Y413" i="16"/>
  <c r="Y333" i="16"/>
  <c r="Y908" i="16"/>
  <c r="G981" i="16"/>
  <c r="S1101" i="16"/>
  <c r="G1101" i="16" s="1"/>
  <c r="Y1277" i="16"/>
  <c r="Y1269" i="16"/>
  <c r="Y1261" i="16"/>
  <c r="Y1245" i="16"/>
  <c r="Y1205" i="16"/>
  <c r="Y1125" i="16"/>
  <c r="Y1117" i="16"/>
  <c r="Y1109" i="16"/>
  <c r="Y1045" i="16"/>
  <c r="Y948" i="16"/>
  <c r="Y756" i="16"/>
  <c r="Y724" i="16"/>
  <c r="Y700" i="16"/>
  <c r="Y684" i="16"/>
  <c r="Y644" i="16"/>
  <c r="Y580" i="16"/>
  <c r="Y564" i="16"/>
  <c r="Y348" i="16"/>
  <c r="Y292" i="16"/>
  <c r="Y844" i="16"/>
  <c r="I981" i="16"/>
  <c r="G908" i="16"/>
  <c r="Y973" i="16"/>
  <c r="Y708" i="16"/>
  <c r="Y484" i="16"/>
  <c r="F981" i="16"/>
  <c r="Y308" i="16"/>
  <c r="J932" i="16"/>
  <c r="E981" i="16"/>
  <c r="U981" i="16" s="1"/>
  <c r="Y1053" i="16"/>
  <c r="H716" i="16"/>
  <c r="H764" i="16"/>
  <c r="E588" i="16"/>
  <c r="U588" i="16" s="1"/>
  <c r="Y660" i="16"/>
  <c r="Y940" i="16"/>
  <c r="I1149" i="16"/>
  <c r="J1149" i="16"/>
  <c r="G1149" i="16"/>
  <c r="D1149" i="16"/>
  <c r="E1149" i="16"/>
  <c r="H1149" i="16"/>
  <c r="F1149" i="16"/>
  <c r="J1266" i="16"/>
  <c r="F1266" i="16"/>
  <c r="H1266" i="16"/>
  <c r="E1266" i="16"/>
  <c r="D1266" i="16"/>
  <c r="I1266" i="16"/>
  <c r="G1266" i="16"/>
  <c r="I748" i="16"/>
  <c r="H263" i="16"/>
  <c r="I263" i="16"/>
  <c r="J763" i="16"/>
  <c r="F742" i="16"/>
  <c r="J1231" i="16"/>
  <c r="G781" i="16"/>
  <c r="F873" i="16"/>
  <c r="G327" i="16"/>
  <c r="E826" i="16"/>
  <c r="D511" i="16"/>
  <c r="J334" i="16"/>
  <c r="J802" i="16"/>
  <c r="F748" i="16"/>
  <c r="I951" i="16"/>
  <c r="G666" i="16"/>
  <c r="D921" i="16"/>
  <c r="U921" i="16" s="1"/>
  <c r="D1008" i="16"/>
  <c r="U1008" i="16" s="1"/>
  <c r="I445" i="16"/>
  <c r="E412" i="16"/>
  <c r="H1141" i="16"/>
  <c r="D779" i="16"/>
  <c r="F262" i="16"/>
  <c r="G724" i="16"/>
  <c r="F921" i="16"/>
  <c r="E263" i="16"/>
  <c r="U263" i="16" s="1"/>
  <c r="E742" i="16"/>
  <c r="F1231" i="16"/>
  <c r="E781" i="16"/>
  <c r="J873" i="16"/>
  <c r="H327" i="16"/>
  <c r="F826" i="16"/>
  <c r="E511" i="16"/>
  <c r="F951" i="16"/>
  <c r="F443" i="16"/>
  <c r="J300" i="16"/>
  <c r="D781" i="16"/>
  <c r="D884" i="16"/>
  <c r="I921" i="16"/>
  <c r="J542" i="16"/>
  <c r="D445" i="16"/>
  <c r="D1276" i="16"/>
  <c r="U1276" i="16" s="1"/>
  <c r="E1141" i="16"/>
  <c r="U1141" i="16" s="1"/>
  <c r="I1163" i="16"/>
  <c r="I779" i="16"/>
  <c r="J779" i="16"/>
  <c r="D262" i="16"/>
  <c r="F1163" i="16"/>
  <c r="G517" i="16"/>
  <c r="G263" i="16"/>
  <c r="I786" i="16"/>
  <c r="G742" i="16"/>
  <c r="J910" i="16"/>
  <c r="F781" i="16"/>
  <c r="G873" i="16"/>
  <c r="I873" i="16"/>
  <c r="J327" i="16"/>
  <c r="I826" i="16"/>
  <c r="G826" i="16"/>
  <c r="H511" i="16"/>
  <c r="I1221" i="16"/>
  <c r="J781" i="16"/>
  <c r="G884" i="16"/>
  <c r="F666" i="16"/>
  <c r="D542" i="16"/>
  <c r="F1244" i="16"/>
  <c r="H412" i="16"/>
  <c r="J1276" i="16"/>
  <c r="I706" i="16"/>
  <c r="H779" i="16"/>
  <c r="F1276" i="16"/>
  <c r="D728" i="16"/>
  <c r="G648" i="16"/>
  <c r="H542" i="16"/>
  <c r="G412" i="16"/>
  <c r="H786" i="16"/>
  <c r="J498" i="16"/>
  <c r="H604" i="16"/>
  <c r="H884" i="16"/>
  <c r="F438" i="16"/>
  <c r="I781" i="16"/>
  <c r="G802" i="16"/>
  <c r="G511" i="16"/>
  <c r="E327" i="16"/>
  <c r="U327" i="16" s="1"/>
  <c r="F511" i="16"/>
  <c r="E873" i="16"/>
  <c r="U873" i="16" s="1"/>
  <c r="J511" i="16"/>
  <c r="I334" i="16"/>
  <c r="F706" i="16"/>
  <c r="E779" i="16"/>
  <c r="G487" i="16"/>
  <c r="H632" i="16"/>
  <c r="J728" i="16"/>
  <c r="H730" i="16"/>
  <c r="D763" i="16"/>
  <c r="U763" i="16" s="1"/>
  <c r="G786" i="16"/>
  <c r="G498" i="16"/>
  <c r="H742" i="16"/>
  <c r="E604" i="16"/>
  <c r="U604" i="16" s="1"/>
  <c r="I884" i="16"/>
  <c r="J438" i="16"/>
  <c r="G300" i="16"/>
  <c r="F802" i="16"/>
  <c r="H826" i="16"/>
  <c r="E443" i="16"/>
  <c r="U443" i="16" s="1"/>
  <c r="I763" i="16"/>
  <c r="G443" i="16"/>
  <c r="E334" i="16"/>
  <c r="H951" i="16"/>
  <c r="G924" i="16"/>
  <c r="H1231" i="16"/>
  <c r="G542" i="16"/>
  <c r="I818" i="16"/>
  <c r="D701" i="16"/>
  <c r="U701" i="16" s="1"/>
  <c r="F542" i="16"/>
  <c r="D594" i="16"/>
  <c r="U594" i="16" s="1"/>
  <c r="E1230" i="16"/>
  <c r="H487" i="16"/>
  <c r="J487" i="16"/>
  <c r="G779" i="16"/>
  <c r="J730" i="16"/>
  <c r="E667" i="16"/>
  <c r="H763" i="16"/>
  <c r="J786" i="16"/>
  <c r="I742" i="16"/>
  <c r="I604" i="16"/>
  <c r="E884" i="16"/>
  <c r="E802" i="16"/>
  <c r="U802" i="16" s="1"/>
  <c r="G438" i="16"/>
  <c r="H300" i="16"/>
  <c r="G951" i="16"/>
  <c r="E438" i="16"/>
  <c r="D826" i="16"/>
  <c r="H443" i="16"/>
  <c r="F334" i="16"/>
  <c r="H1221" i="16"/>
  <c r="D1221" i="16"/>
  <c r="D1231" i="16"/>
  <c r="U1231" i="16" s="1"/>
  <c r="G730" i="16"/>
  <c r="F1141" i="16"/>
  <c r="E706" i="16"/>
  <c r="U706" i="16" s="1"/>
  <c r="D752" i="16"/>
  <c r="U752" i="16" s="1"/>
  <c r="J701" i="16"/>
  <c r="D1256" i="16"/>
  <c r="U1256" i="16" s="1"/>
  <c r="D1230" i="16"/>
  <c r="F728" i="16"/>
  <c r="D832" i="16"/>
  <c r="J921" i="16"/>
  <c r="D412" i="16"/>
  <c r="J263" i="16"/>
  <c r="F786" i="16"/>
  <c r="J604" i="16"/>
  <c r="F884" i="16"/>
  <c r="H438" i="16"/>
  <c r="E300" i="16"/>
  <c r="U300" i="16" s="1"/>
  <c r="D951" i="16"/>
  <c r="I443" i="16"/>
  <c r="H334" i="16"/>
  <c r="H924" i="16"/>
  <c r="I1231" i="16"/>
  <c r="F604" i="16"/>
  <c r="J1141" i="16"/>
  <c r="G445" i="16"/>
  <c r="G701" i="16"/>
  <c r="F412" i="16"/>
  <c r="E728" i="16"/>
  <c r="I832" i="16"/>
  <c r="G1276" i="16"/>
  <c r="H724" i="16"/>
  <c r="J1236" i="16"/>
  <c r="G933" i="16"/>
  <c r="F933" i="16"/>
  <c r="H933" i="16"/>
  <c r="I933" i="16"/>
  <c r="J933" i="16"/>
  <c r="D933" i="16"/>
  <c r="E933" i="16"/>
  <c r="E940" i="16"/>
  <c r="F940" i="16"/>
  <c r="G940" i="16"/>
  <c r="I940" i="16"/>
  <c r="D940" i="16"/>
  <c r="J940" i="16"/>
  <c r="H940" i="16"/>
  <c r="J859" i="16"/>
  <c r="H859" i="16"/>
  <c r="I1281" i="16"/>
  <c r="G1281" i="16"/>
  <c r="F1281" i="16"/>
  <c r="D1281" i="16"/>
  <c r="J1281" i="16"/>
  <c r="E1281" i="16"/>
  <c r="H1281" i="16"/>
  <c r="E1169" i="16"/>
  <c r="I1169" i="16"/>
  <c r="H1169" i="16"/>
  <c r="D1169" i="16"/>
  <c r="F1169" i="16"/>
  <c r="J1169" i="16"/>
  <c r="G1169" i="16"/>
  <c r="G953" i="16"/>
  <c r="H953" i="16"/>
  <c r="F953" i="16"/>
  <c r="D953" i="16"/>
  <c r="J953" i="16"/>
  <c r="I953" i="16"/>
  <c r="E953" i="16"/>
  <c r="H1276" i="16"/>
  <c r="G728" i="16"/>
  <c r="I591" i="16"/>
  <c r="D1093" i="16"/>
  <c r="U1093" i="16" s="1"/>
  <c r="I1201" i="16"/>
  <c r="E283" i="16"/>
  <c r="U283" i="16" s="1"/>
  <c r="E679" i="16"/>
  <c r="U679" i="16" s="1"/>
  <c r="Y1034" i="16"/>
  <c r="Y961" i="16"/>
  <c r="Y953" i="16"/>
  <c r="E1077" i="16"/>
  <c r="U1077" i="16" s="1"/>
  <c r="J724" i="16"/>
  <c r="J823" i="16"/>
  <c r="H823" i="16"/>
  <c r="I724" i="16"/>
  <c r="G839" i="16"/>
  <c r="E312" i="16"/>
  <c r="U312" i="16" s="1"/>
  <c r="J283" i="16"/>
  <c r="J1093" i="16"/>
  <c r="D724" i="16"/>
  <c r="U724" i="16" s="1"/>
  <c r="D839" i="16"/>
  <c r="U839" i="16" s="1"/>
  <c r="Y1281" i="16"/>
  <c r="J1201" i="16"/>
  <c r="G774" i="16"/>
  <c r="E1131" i="16"/>
  <c r="I1131" i="16"/>
  <c r="F1131" i="16"/>
  <c r="D1131" i="16"/>
  <c r="G1131" i="16"/>
  <c r="J1131" i="16"/>
  <c r="E356" i="16"/>
  <c r="G356" i="16"/>
  <c r="I356" i="16"/>
  <c r="H356" i="16"/>
  <c r="J356" i="16"/>
  <c r="F356" i="16"/>
  <c r="D356" i="16"/>
  <c r="G1233" i="16"/>
  <c r="H1233" i="16"/>
  <c r="I1233" i="16"/>
  <c r="I1138" i="16"/>
  <c r="E1138" i="16"/>
  <c r="G1138" i="16"/>
  <c r="H1138" i="16"/>
  <c r="J1138" i="16"/>
  <c r="F1138" i="16"/>
  <c r="D1138" i="16"/>
  <c r="E795" i="16"/>
  <c r="H795" i="16"/>
  <c r="G795" i="16"/>
  <c r="J795" i="16"/>
  <c r="I795" i="16"/>
  <c r="F795" i="16"/>
  <c r="D795" i="16"/>
  <c r="I1017" i="16"/>
  <c r="D1017" i="16"/>
  <c r="G1017" i="16"/>
  <c r="J1017" i="16"/>
  <c r="F1017" i="16"/>
  <c r="H1017" i="16"/>
  <c r="E1017" i="16"/>
  <c r="F913" i="16"/>
  <c r="G913" i="16"/>
  <c r="J913" i="16"/>
  <c r="I913" i="16"/>
  <c r="E913" i="16"/>
  <c r="H913" i="16"/>
  <c r="D913" i="16"/>
  <c r="I1198" i="16"/>
  <c r="E1198" i="16"/>
  <c r="D1198" i="16"/>
  <c r="J1198" i="16"/>
  <c r="H1198" i="16"/>
  <c r="G1198" i="16"/>
  <c r="F1198" i="16"/>
  <c r="J920" i="16"/>
  <c r="F920" i="16"/>
  <c r="G920" i="16"/>
  <c r="D920" i="16"/>
  <c r="H920" i="16"/>
  <c r="E920" i="16"/>
  <c r="I920" i="16"/>
  <c r="J623" i="16"/>
  <c r="E623" i="16"/>
  <c r="D623" i="16"/>
  <c r="I623" i="16"/>
  <c r="G623" i="16"/>
  <c r="H623" i="16"/>
  <c r="F623" i="16"/>
  <c r="I551" i="16"/>
  <c r="H551" i="16"/>
  <c r="E551" i="16"/>
  <c r="J551" i="16"/>
  <c r="G551" i="16"/>
  <c r="F551" i="16"/>
  <c r="D551" i="16"/>
  <c r="D630" i="16"/>
  <c r="J630" i="16"/>
  <c r="G630" i="16"/>
  <c r="H630" i="16"/>
  <c r="E630" i="16"/>
  <c r="F630" i="16"/>
  <c r="I630" i="16"/>
  <c r="E558" i="16"/>
  <c r="F558" i="16"/>
  <c r="H558" i="16"/>
  <c r="G558" i="16"/>
  <c r="I558" i="16"/>
  <c r="J558" i="16"/>
  <c r="D558" i="16"/>
  <c r="E470" i="16"/>
  <c r="I470" i="16"/>
  <c r="J470" i="16"/>
  <c r="H470" i="16"/>
  <c r="G470" i="16"/>
  <c r="D470" i="16"/>
  <c r="F470" i="16"/>
  <c r="E597" i="16"/>
  <c r="D597" i="16"/>
  <c r="J597" i="16"/>
  <c r="G597" i="16"/>
  <c r="F597" i="16"/>
  <c r="I597" i="16"/>
  <c r="H597" i="16"/>
  <c r="Y1036" i="16"/>
  <c r="Y997" i="16"/>
  <c r="Y463" i="16"/>
  <c r="Y1051" i="16"/>
  <c r="E591" i="16"/>
  <c r="J272" i="16"/>
  <c r="E272" i="16"/>
  <c r="Y316" i="16"/>
  <c r="G272" i="16"/>
  <c r="H272" i="16"/>
  <c r="D272" i="16"/>
  <c r="Y1226" i="16"/>
  <c r="F272" i="16"/>
  <c r="Y1280" i="16"/>
  <c r="U562" i="16"/>
  <c r="U1250" i="16"/>
  <c r="U775" i="16"/>
  <c r="U303" i="16"/>
  <c r="U572" i="16"/>
  <c r="U592" i="16"/>
  <c r="I1154" i="16"/>
  <c r="E1154" i="16"/>
  <c r="H1154" i="16"/>
  <c r="E1119" i="16"/>
  <c r="D1119" i="16"/>
  <c r="I1119" i="16"/>
  <c r="I530" i="16"/>
  <c r="E530" i="16"/>
  <c r="H530" i="16"/>
  <c r="D530" i="16"/>
  <c r="F530" i="16"/>
  <c r="I727" i="16"/>
  <c r="E727" i="16"/>
  <c r="U727" i="16" s="1"/>
  <c r="G727" i="16"/>
  <c r="E892" i="16"/>
  <c r="J892" i="16"/>
  <c r="D892" i="16"/>
  <c r="H892" i="16"/>
  <c r="H869" i="16"/>
  <c r="G869" i="16"/>
  <c r="E869" i="16"/>
  <c r="I869" i="16"/>
  <c r="D869" i="16"/>
  <c r="H1118" i="16"/>
  <c r="J1118" i="16"/>
  <c r="D311" i="16"/>
  <c r="E311" i="16"/>
  <c r="H311" i="16"/>
  <c r="H274" i="16"/>
  <c r="I274" i="16"/>
  <c r="E274" i="16"/>
  <c r="U274" i="16" s="1"/>
  <c r="J274" i="16"/>
  <c r="G875" i="16"/>
  <c r="I875" i="16"/>
  <c r="E875" i="16"/>
  <c r="U875" i="16" s="1"/>
  <c r="F875" i="16"/>
  <c r="H571" i="16"/>
  <c r="D571" i="16"/>
  <c r="U571" i="16" s="1"/>
  <c r="J571" i="16"/>
  <c r="F571" i="16"/>
  <c r="I571" i="16"/>
  <c r="G616" i="16"/>
  <c r="J616" i="16"/>
  <c r="F616" i="16"/>
  <c r="I616" i="16"/>
  <c r="G1035" i="16"/>
  <c r="J1035" i="16"/>
  <c r="I1035" i="16"/>
  <c r="E447" i="16"/>
  <c r="J447" i="16"/>
  <c r="D447" i="16"/>
  <c r="G447" i="16"/>
  <c r="H447" i="16"/>
  <c r="I447" i="16"/>
  <c r="I575" i="16"/>
  <c r="J575" i="16"/>
  <c r="F575" i="16"/>
  <c r="E575" i="16"/>
  <c r="U575" i="16" s="1"/>
  <c r="D578" i="16"/>
  <c r="U578" i="16" s="1"/>
  <c r="J578" i="16"/>
  <c r="E899" i="16"/>
  <c r="F899" i="16"/>
  <c r="I899" i="16"/>
  <c r="H899" i="16"/>
  <c r="G899" i="16"/>
  <c r="E1039" i="16"/>
  <c r="J1039" i="16"/>
  <c r="H1039" i="16"/>
  <c r="J1115" i="16"/>
  <c r="D1115" i="16"/>
  <c r="U1115" i="16" s="1"/>
  <c r="G1115" i="16"/>
  <c r="G1166" i="16"/>
  <c r="J1166" i="16"/>
  <c r="I1166" i="16"/>
  <c r="H1166" i="16"/>
  <c r="H1222" i="16"/>
  <c r="E1222" i="16"/>
  <c r="U1222" i="16" s="1"/>
  <c r="D740" i="16"/>
  <c r="H740" i="16"/>
  <c r="J740" i="16"/>
  <c r="E740" i="16"/>
  <c r="I330" i="16"/>
  <c r="J330" i="16"/>
  <c r="H330" i="16"/>
  <c r="G1065" i="16"/>
  <c r="H1065" i="16"/>
  <c r="E1065" i="16"/>
  <c r="U1065" i="16" s="1"/>
  <c r="J1065" i="16"/>
  <c r="G762" i="16"/>
  <c r="H762" i="16"/>
  <c r="F762" i="16"/>
  <c r="J762" i="16"/>
  <c r="D762" i="16"/>
  <c r="U762" i="16" s="1"/>
  <c r="G976" i="16"/>
  <c r="D976" i="16"/>
  <c r="H976" i="16"/>
  <c r="F976" i="16"/>
  <c r="G754" i="16"/>
  <c r="F754" i="16"/>
  <c r="D754" i="16"/>
  <c r="U754" i="16" s="1"/>
  <c r="I754" i="16"/>
  <c r="D521" i="16"/>
  <c r="F521" i="16"/>
  <c r="H546" i="16"/>
  <c r="J546" i="16"/>
  <c r="J627" i="16"/>
  <c r="D627" i="16"/>
  <c r="G627" i="16"/>
  <c r="E627" i="16"/>
  <c r="F627" i="16"/>
  <c r="D786" i="16"/>
  <c r="U786" i="16" s="1"/>
  <c r="E1224" i="16"/>
  <c r="U1224" i="16" s="1"/>
  <c r="D922" i="16"/>
  <c r="U922" i="16" s="1"/>
  <c r="I363" i="16"/>
  <c r="E363" i="16"/>
  <c r="U363" i="16" s="1"/>
  <c r="J363" i="16"/>
  <c r="J825" i="16"/>
  <c r="D825" i="16"/>
  <c r="U825" i="16" s="1"/>
  <c r="H825" i="16"/>
  <c r="I372" i="16"/>
  <c r="J372" i="16"/>
  <c r="G1163" i="16"/>
  <c r="E1163" i="16"/>
  <c r="U1163" i="16" s="1"/>
  <c r="H1163" i="16"/>
  <c r="J1163" i="16"/>
  <c r="Y1241" i="16"/>
  <c r="S1241" i="16"/>
  <c r="F1241" i="16" s="1"/>
  <c r="E1233" i="16"/>
  <c r="D1233" i="16"/>
  <c r="J1233" i="16"/>
  <c r="F1233" i="16"/>
  <c r="S1187" i="16"/>
  <c r="Y1187" i="16"/>
  <c r="S950" i="16"/>
  <c r="Y950" i="16"/>
  <c r="S354" i="16"/>
  <c r="Y354" i="16"/>
  <c r="H314" i="16"/>
  <c r="I314" i="16"/>
  <c r="J314" i="16"/>
  <c r="J18" i="10"/>
  <c r="A2" i="2"/>
  <c r="J30" i="10"/>
  <c r="I60" i="10"/>
  <c r="B32" i="3"/>
  <c r="A1" i="2"/>
  <c r="B12" i="4"/>
  <c r="B17" i="4"/>
  <c r="A9" i="10" s="1"/>
  <c r="I22" i="10"/>
  <c r="B15" i="3"/>
  <c r="I25" i="10"/>
  <c r="J45" i="10"/>
  <c r="G3" i="16"/>
  <c r="C30" i="3"/>
  <c r="B45" i="1"/>
  <c r="B38" i="4"/>
  <c r="B62" i="4" s="1"/>
  <c r="A45" i="10" s="1"/>
  <c r="I53" i="10"/>
  <c r="A74" i="2"/>
  <c r="I20" i="10"/>
  <c r="B4" i="16"/>
  <c r="J32" i="10"/>
  <c r="B26" i="3"/>
  <c r="A17" i="2"/>
  <c r="A73" i="2"/>
  <c r="A75" i="2"/>
  <c r="A45" i="2"/>
  <c r="I15" i="10"/>
  <c r="C15" i="10" s="1"/>
  <c r="B40" i="4"/>
  <c r="B52" i="4" s="1"/>
  <c r="A37" i="10" s="1"/>
  <c r="A44" i="2"/>
  <c r="F4" i="14"/>
  <c r="I41" i="10"/>
  <c r="A10" i="2"/>
  <c r="I63" i="10"/>
  <c r="D3" i="10"/>
  <c r="L63" i="10"/>
  <c r="C4" i="14"/>
  <c r="J13" i="10"/>
  <c r="A1" i="10"/>
  <c r="B16" i="3"/>
  <c r="B29" i="4"/>
  <c r="A18" i="10" s="1"/>
  <c r="J11" i="10"/>
  <c r="C11" i="10" s="1"/>
  <c r="A6" i="2"/>
  <c r="I43" i="10"/>
  <c r="D5" i="11"/>
  <c r="C12" i="3"/>
  <c r="B14" i="4"/>
  <c r="J10" i="10"/>
  <c r="C10" i="10" s="1"/>
  <c r="J52" i="10"/>
  <c r="B3" i="3"/>
  <c r="J25" i="10"/>
  <c r="D2" i="4"/>
  <c r="I58" i="10"/>
  <c r="A19" i="2"/>
  <c r="J47" i="10"/>
  <c r="B19" i="4"/>
  <c r="I23" i="10"/>
  <c r="A38" i="2"/>
  <c r="A3" i="10"/>
  <c r="E4" i="14"/>
  <c r="A24" i="2"/>
  <c r="A69" i="2"/>
  <c r="I59" i="10"/>
  <c r="J61" i="10"/>
  <c r="J2" i="16"/>
  <c r="C28" i="3"/>
  <c r="I66" i="10"/>
  <c r="I46" i="10"/>
  <c r="J55" i="10"/>
  <c r="C4" i="3"/>
  <c r="B12" i="3"/>
  <c r="J23" i="10"/>
  <c r="C2" i="3"/>
  <c r="C19" i="3"/>
  <c r="A77" i="2"/>
  <c r="B25" i="3"/>
  <c r="A54" i="2"/>
  <c r="I5" i="10"/>
  <c r="C5" i="10" s="1"/>
  <c r="A72" i="2"/>
  <c r="A18" i="2"/>
  <c r="C20" i="3"/>
  <c r="A46" i="2"/>
  <c r="I8" i="10"/>
  <c r="J58" i="10"/>
  <c r="J40" i="10"/>
  <c r="B28" i="4"/>
  <c r="A17" i="10" s="1"/>
  <c r="A42" i="2"/>
  <c r="J60" i="10"/>
  <c r="I64" i="10"/>
  <c r="J36" i="10"/>
  <c r="D4" i="16"/>
  <c r="J62" i="10"/>
  <c r="D1" i="10"/>
  <c r="B27" i="3"/>
  <c r="A23" i="2"/>
  <c r="A16" i="2"/>
  <c r="C5" i="3"/>
  <c r="J53" i="10"/>
  <c r="I16" i="10"/>
  <c r="A1" i="11"/>
  <c r="B23" i="3"/>
  <c r="I33" i="10"/>
  <c r="I21" i="10"/>
  <c r="C21" i="10" s="1"/>
  <c r="I45" i="10"/>
  <c r="C26" i="3"/>
  <c r="B3" i="16"/>
  <c r="B21" i="3"/>
  <c r="L4" i="16"/>
  <c r="B8" i="3"/>
  <c r="B27" i="4"/>
  <c r="A16" i="10" s="1"/>
  <c r="A58" i="2"/>
  <c r="I31" i="10"/>
  <c r="B4" i="14"/>
  <c r="I17" i="10"/>
  <c r="C17" i="10" s="1"/>
  <c r="J20" i="10"/>
  <c r="B17" i="3"/>
  <c r="J31" i="10"/>
  <c r="B6" i="3"/>
  <c r="B7" i="3"/>
  <c r="J7" i="10"/>
  <c r="C7" i="10" s="1"/>
  <c r="L65" i="10"/>
  <c r="C65" i="10" s="1"/>
  <c r="A49" i="2"/>
  <c r="J8" i="10"/>
  <c r="C8" i="10" s="1"/>
  <c r="A52" i="2"/>
  <c r="B28" i="3"/>
  <c r="I40" i="10"/>
  <c r="B7" i="4"/>
  <c r="C15" i="3"/>
  <c r="B31" i="4"/>
  <c r="A19" i="10" s="1"/>
  <c r="A36" i="2"/>
  <c r="A43" i="2"/>
  <c r="A9" i="2"/>
  <c r="I56" i="10"/>
  <c r="J27" i="10"/>
  <c r="I4" i="4"/>
  <c r="J16" i="10"/>
  <c r="B6" i="4"/>
  <c r="J59" i="10"/>
  <c r="B20" i="3"/>
  <c r="C24" i="3"/>
  <c r="A63" i="2"/>
  <c r="I13" i="10"/>
  <c r="A89" i="4"/>
  <c r="J26" i="10"/>
  <c r="J35" i="10"/>
  <c r="C35" i="10" s="1"/>
  <c r="B5" i="3"/>
  <c r="A27" i="2"/>
  <c r="A55" i="2"/>
  <c r="A47" i="2"/>
  <c r="L64" i="10"/>
  <c r="E1191" i="16"/>
  <c r="E418" i="16"/>
  <c r="E646" i="16"/>
  <c r="H646" i="16"/>
  <c r="E521" i="16"/>
  <c r="D396" i="16"/>
  <c r="U396" i="16" s="1"/>
  <c r="H396" i="16"/>
  <c r="D667" i="16"/>
  <c r="G667" i="16"/>
  <c r="H667" i="16"/>
  <c r="G22" i="10"/>
  <c r="H22" i="10" s="1"/>
  <c r="D22" i="10" s="1"/>
  <c r="F27" i="10"/>
  <c r="J523" i="16"/>
  <c r="F523" i="16"/>
  <c r="I523" i="16"/>
  <c r="H778" i="16"/>
  <c r="I778" i="16"/>
  <c r="J1253" i="16"/>
  <c r="G1253" i="16"/>
  <c r="E1253" i="16"/>
  <c r="U1253" i="16" s="1"/>
  <c r="D690" i="16"/>
  <c r="E690" i="16"/>
  <c r="D317" i="16"/>
  <c r="F317" i="16"/>
  <c r="G18" i="10"/>
  <c r="H18" i="10" s="1"/>
  <c r="D18" i="10" s="1"/>
  <c r="F28" i="10"/>
  <c r="G904" i="16"/>
  <c r="H466" i="16"/>
  <c r="I466" i="16"/>
  <c r="H1104" i="16"/>
  <c r="I1104" i="16"/>
  <c r="G527" i="16"/>
  <c r="D527" i="16"/>
  <c r="U527" i="16" s="1"/>
  <c r="J900" i="16"/>
  <c r="F30" i="10"/>
  <c r="H30" i="10" s="1"/>
  <c r="D30" i="10" s="1"/>
  <c r="F45" i="10"/>
  <c r="H45" i="10" s="1"/>
  <c r="D45" i="10" s="1"/>
  <c r="F40" i="10"/>
  <c r="H40" i="10" s="1"/>
  <c r="F35" i="10"/>
  <c r="H35" i="10" s="1"/>
  <c r="H293" i="16"/>
  <c r="H418" i="16"/>
  <c r="I600" i="16"/>
  <c r="F409" i="16"/>
  <c r="F832" i="16"/>
  <c r="H523" i="16"/>
  <c r="I992" i="16"/>
  <c r="J992" i="16"/>
  <c r="H992" i="16"/>
  <c r="G992" i="16"/>
  <c r="H267" i="16"/>
  <c r="E267" i="16"/>
  <c r="U267" i="16" s="1"/>
  <c r="F321" i="16"/>
  <c r="G321" i="16"/>
  <c r="E814" i="16"/>
  <c r="J814" i="16"/>
  <c r="H814" i="16"/>
  <c r="E1089" i="16"/>
  <c r="J420" i="16"/>
  <c r="I420" i="16"/>
  <c r="E523" i="16"/>
  <c r="U523" i="16" s="1"/>
  <c r="D487" i="16"/>
  <c r="U487" i="16" s="1"/>
  <c r="F487" i="16"/>
  <c r="H1234" i="16"/>
  <c r="E1234" i="16"/>
  <c r="D293" i="16"/>
  <c r="U293" i="16" s="1"/>
  <c r="F922" i="16"/>
  <c r="E317" i="16"/>
  <c r="G1016" i="16"/>
  <c r="D1016" i="16"/>
  <c r="U1016" i="16" s="1"/>
  <c r="F1016" i="16"/>
  <c r="I594" i="16"/>
  <c r="J594" i="16"/>
  <c r="F1237" i="16"/>
  <c r="I1237" i="16"/>
  <c r="D1186" i="16"/>
  <c r="J1186" i="16"/>
  <c r="E1186" i="16"/>
  <c r="G1186" i="16"/>
  <c r="I1186" i="16"/>
  <c r="J672" i="16"/>
  <c r="E672" i="16"/>
  <c r="S1091" i="16"/>
  <c r="Y1091" i="16"/>
  <c r="S822" i="16"/>
  <c r="Y822" i="16"/>
  <c r="G16" i="10"/>
  <c r="H16" i="10" s="1"/>
  <c r="D16" i="10" s="1"/>
  <c r="F26" i="10"/>
  <c r="S1165" i="16"/>
  <c r="G1165" i="16" s="1"/>
  <c r="Y855" i="16"/>
  <c r="Y863" i="16"/>
  <c r="Y471" i="16"/>
  <c r="Y423" i="16"/>
  <c r="Y560" i="16"/>
  <c r="G546" i="16"/>
  <c r="Y538" i="16"/>
  <c r="Y814" i="16"/>
  <c r="Y478" i="16"/>
  <c r="Y835" i="16"/>
  <c r="Y788" i="16"/>
  <c r="Y780" i="16"/>
  <c r="Y590" i="16"/>
  <c r="Y540" i="16"/>
  <c r="Y1256" i="16"/>
  <c r="Y699" i="16"/>
  <c r="Y691" i="16"/>
  <c r="Y523" i="16"/>
  <c r="Y507" i="16"/>
  <c r="Y518" i="16"/>
  <c r="Y487" i="16"/>
  <c r="U329" i="16"/>
  <c r="U266" i="16"/>
  <c r="U565" i="16"/>
  <c r="U1084" i="16"/>
  <c r="U1042" i="16"/>
  <c r="U1264" i="16"/>
  <c r="I1005" i="16"/>
  <c r="F1005" i="16"/>
  <c r="G1005" i="16"/>
  <c r="D1005" i="16"/>
  <c r="U1005" i="16" s="1"/>
  <c r="J1005" i="16"/>
  <c r="S1108" i="16"/>
  <c r="Y1108" i="16"/>
  <c r="H685" i="16"/>
  <c r="I685" i="16"/>
  <c r="G685" i="16"/>
  <c r="D498" i="16"/>
  <c r="F1222" i="16"/>
  <c r="H930" i="16"/>
  <c r="G615" i="16"/>
  <c r="G489" i="16"/>
  <c r="G656" i="16"/>
  <c r="I648" i="16"/>
  <c r="J648" i="16"/>
  <c r="E1172" i="16"/>
  <c r="U1172" i="16" s="1"/>
  <c r="F1172" i="16"/>
  <c r="I1172" i="16"/>
  <c r="E1211" i="16"/>
  <c r="U1211" i="16" s="1"/>
  <c r="H1211" i="16"/>
  <c r="S1197" i="16"/>
  <c r="Y1197" i="16"/>
  <c r="S1181" i="16"/>
  <c r="G1181" i="16" s="1"/>
  <c r="Y1144" i="16"/>
  <c r="S1144" i="16"/>
  <c r="I1222" i="16"/>
  <c r="G387" i="16"/>
  <c r="E387" i="16"/>
  <c r="U387" i="16" s="1"/>
  <c r="F930" i="16"/>
  <c r="D930" i="16"/>
  <c r="U930" i="16" s="1"/>
  <c r="D579" i="16"/>
  <c r="I579" i="16"/>
  <c r="E741" i="16"/>
  <c r="I741" i="16"/>
  <c r="J741" i="16"/>
  <c r="D859" i="16"/>
  <c r="E859" i="16"/>
  <c r="I859" i="16"/>
  <c r="F859" i="16"/>
  <c r="G1172" i="16"/>
  <c r="H472" i="16"/>
  <c r="H656" i="16"/>
  <c r="D637" i="16"/>
  <c r="Y554" i="16"/>
  <c r="S554" i="16"/>
  <c r="S547" i="16"/>
  <c r="Y547" i="16"/>
  <c r="J539" i="16"/>
  <c r="F539" i="16"/>
  <c r="S531" i="16"/>
  <c r="G531" i="16" s="1"/>
  <c r="Y324" i="16"/>
  <c r="S324" i="16"/>
  <c r="F656" i="16"/>
  <c r="G784" i="16"/>
  <c r="I784" i="16"/>
  <c r="D836" i="16"/>
  <c r="U836" i="16" s="1"/>
  <c r="I836" i="16"/>
  <c r="G836" i="16"/>
  <c r="H552" i="16"/>
  <c r="F552" i="16"/>
  <c r="J552" i="16"/>
  <c r="G552" i="16"/>
  <c r="D552" i="16"/>
  <c r="U552" i="16" s="1"/>
  <c r="J713" i="16"/>
  <c r="I713" i="16"/>
  <c r="H576" i="16"/>
  <c r="I576" i="16"/>
  <c r="E576" i="16"/>
  <c r="U576" i="16" s="1"/>
  <c r="E656" i="16"/>
  <c r="J963" i="16"/>
  <c r="I963" i="16"/>
  <c r="F828" i="16"/>
  <c r="J828" i="16"/>
  <c r="H820" i="16"/>
  <c r="F820" i="16"/>
  <c r="I789" i="16"/>
  <c r="F789" i="16"/>
  <c r="E923" i="16"/>
  <c r="U923" i="16" s="1"/>
  <c r="F472" i="16"/>
  <c r="J615" i="16"/>
  <c r="I930" i="16"/>
  <c r="I656" i="16"/>
  <c r="F524" i="16"/>
  <c r="G773" i="16"/>
  <c r="G832" i="16"/>
  <c r="E832" i="16"/>
  <c r="J832" i="16"/>
  <c r="G1088" i="16"/>
  <c r="D1088" i="16"/>
  <c r="U1088" i="16" s="1"/>
  <c r="H1088" i="16"/>
  <c r="S1010" i="16"/>
  <c r="G1010" i="16" s="1"/>
  <c r="Y1010" i="16"/>
  <c r="S994" i="16"/>
  <c r="G994" i="16" s="1"/>
  <c r="S978" i="16"/>
  <c r="Y978" i="16"/>
  <c r="G859" i="16"/>
  <c r="G851" i="16"/>
  <c r="E851" i="16"/>
  <c r="U851" i="16" s="1"/>
  <c r="F851" i="16"/>
  <c r="F849" i="16"/>
  <c r="E615" i="16"/>
  <c r="U615" i="16" s="1"/>
  <c r="D656" i="16"/>
  <c r="F482" i="16"/>
  <c r="G482" i="16"/>
  <c r="D482" i="16"/>
  <c r="U482" i="16" s="1"/>
  <c r="J482" i="16"/>
  <c r="H482" i="16"/>
  <c r="I482" i="16"/>
  <c r="I1278" i="16"/>
  <c r="H1278" i="16"/>
  <c r="J1278" i="16"/>
  <c r="G279" i="16"/>
  <c r="Y1031" i="16"/>
  <c r="Y1114" i="16"/>
  <c r="S788" i="16"/>
  <c r="I474" i="16"/>
  <c r="G386" i="16"/>
  <c r="Y828" i="16"/>
  <c r="Y796" i="16"/>
  <c r="J1143" i="16"/>
  <c r="Y1248" i="16"/>
  <c r="Y859" i="16"/>
  <c r="Y539" i="16"/>
  <c r="Y531" i="16"/>
  <c r="J1136" i="16"/>
  <c r="S835" i="16"/>
  <c r="S560" i="16"/>
  <c r="Y1009" i="16"/>
  <c r="F1060" i="16"/>
  <c r="D672" i="16"/>
  <c r="I1136" i="16"/>
  <c r="G1136" i="16"/>
  <c r="Y502" i="16"/>
  <c r="S502" i="16"/>
  <c r="S442" i="16"/>
  <c r="Y442" i="16"/>
  <c r="J452" i="16"/>
  <c r="H397" i="16"/>
  <c r="Y1188" i="16"/>
  <c r="S980" i="16"/>
  <c r="Y980" i="16"/>
  <c r="S433" i="16"/>
  <c r="Y433" i="16"/>
  <c r="E730" i="16"/>
  <c r="U730" i="16" s="1"/>
  <c r="D397" i="16"/>
  <c r="J397" i="16"/>
  <c r="Y1136" i="16"/>
  <c r="Y872" i="16"/>
  <c r="Y729" i="16"/>
  <c r="Y569" i="16"/>
  <c r="Y561" i="16"/>
  <c r="Y553" i="16"/>
  <c r="Y467" i="16"/>
  <c r="Y459" i="16"/>
  <c r="Y311" i="16"/>
  <c r="Y296" i="16"/>
  <c r="Y288" i="16"/>
  <c r="Y957" i="16"/>
  <c r="Y893" i="16"/>
  <c r="Y568" i="16"/>
  <c r="Y450" i="16"/>
  <c r="Y389" i="16"/>
  <c r="Y1259" i="16"/>
  <c r="Y1101" i="16"/>
  <c r="Y1029" i="16"/>
  <c r="Y956" i="16"/>
  <c r="Y727" i="16"/>
  <c r="Y449" i="16"/>
  <c r="Y325" i="16"/>
  <c r="Y1132" i="16"/>
  <c r="Y422" i="16"/>
  <c r="Y270" i="16"/>
  <c r="Y1100" i="16"/>
  <c r="Y829" i="16"/>
  <c r="Y371" i="16"/>
  <c r="G882" i="16"/>
  <c r="Y1270" i="16"/>
  <c r="Y1130" i="16"/>
  <c r="Y1107" i="16"/>
  <c r="Y1059" i="16"/>
  <c r="Y797" i="16"/>
  <c r="Y789" i="16"/>
  <c r="Y701" i="16"/>
  <c r="Y613" i="16"/>
  <c r="Y605" i="16"/>
  <c r="Y526" i="16"/>
  <c r="Y510" i="16"/>
  <c r="Y479" i="16"/>
  <c r="Y410" i="16"/>
  <c r="U1114" i="16"/>
  <c r="U674" i="16"/>
  <c r="U842" i="16"/>
  <c r="U313" i="16"/>
  <c r="U1190" i="16"/>
  <c r="U491" i="16"/>
  <c r="U271" i="16"/>
  <c r="U744" i="16"/>
  <c r="U908" i="16"/>
  <c r="U602" i="16"/>
  <c r="U863" i="16"/>
  <c r="U785" i="16"/>
  <c r="U322" i="16"/>
  <c r="U484" i="16"/>
  <c r="U450" i="16"/>
  <c r="U463" i="16"/>
  <c r="U469" i="16"/>
  <c r="U1188" i="16"/>
  <c r="U651" i="16"/>
  <c r="U1248" i="16"/>
  <c r="U444" i="16"/>
  <c r="U961" i="16"/>
  <c r="U480" i="16"/>
  <c r="U1061" i="16"/>
  <c r="U1122" i="16"/>
  <c r="U1083" i="16"/>
  <c r="U865" i="16"/>
  <c r="U641" i="16"/>
  <c r="U663" i="16"/>
  <c r="U467" i="16"/>
  <c r="U1036" i="16"/>
  <c r="U1080" i="16"/>
  <c r="U284" i="16"/>
  <c r="U567" i="16"/>
  <c r="U436" i="16"/>
  <c r="U1053" i="16"/>
  <c r="U561" i="16"/>
  <c r="U1057" i="16"/>
  <c r="U987" i="16"/>
  <c r="U372" i="16"/>
  <c r="U888" i="16"/>
  <c r="U1073" i="16"/>
  <c r="U489" i="16"/>
  <c r="U1282" i="16"/>
  <c r="U962" i="16"/>
  <c r="U1132" i="16"/>
  <c r="U1043" i="16"/>
  <c r="U528" i="16"/>
  <c r="U881" i="16"/>
  <c r="U650" i="16"/>
  <c r="U906" i="16"/>
  <c r="U410" i="16"/>
  <c r="U1180" i="16"/>
  <c r="U603" i="16"/>
  <c r="U1003" i="16"/>
  <c r="D55" i="4"/>
  <c r="U818" i="16"/>
  <c r="U506" i="16"/>
  <c r="U957" i="16"/>
  <c r="U692" i="16"/>
  <c r="U320" i="16"/>
  <c r="U580" i="16"/>
  <c r="U736" i="16"/>
  <c r="U868" i="16"/>
  <c r="U688" i="16"/>
  <c r="U1117" i="16"/>
  <c r="U376" i="16"/>
  <c r="U889" i="16"/>
  <c r="U610" i="16"/>
  <c r="U427" i="16"/>
  <c r="U1200" i="16"/>
  <c r="U1076" i="16"/>
  <c r="U916" i="16"/>
  <c r="U1012" i="16"/>
  <c r="U468" i="16"/>
  <c r="U1275" i="16"/>
  <c r="U1041" i="16"/>
  <c r="U817" i="16"/>
  <c r="G61" i="4"/>
  <c r="G43" i="4"/>
  <c r="A26" i="10"/>
  <c r="G37" i="4"/>
  <c r="B57" i="4"/>
  <c r="A41" i="10" s="1"/>
  <c r="U880" i="16"/>
  <c r="U789" i="16"/>
  <c r="G55" i="4"/>
  <c r="B45" i="4"/>
  <c r="A31" i="10" s="1"/>
  <c r="U471" i="16"/>
  <c r="G68" i="4"/>
  <c r="G31" i="4"/>
  <c r="B51" i="4"/>
  <c r="A36" i="10" s="1"/>
  <c r="U907" i="16"/>
  <c r="U996" i="16"/>
  <c r="U348" i="16"/>
  <c r="U658" i="16"/>
  <c r="U1027" i="16"/>
  <c r="U816" i="16"/>
  <c r="U665" i="16"/>
  <c r="F430" i="16"/>
  <c r="D430" i="16"/>
  <c r="F862" i="16"/>
  <c r="D862" i="16"/>
  <c r="I862" i="16"/>
  <c r="E862" i="16"/>
  <c r="J415" i="16"/>
  <c r="G415" i="16"/>
  <c r="J1279" i="16"/>
  <c r="H1279" i="16"/>
  <c r="E1279" i="16"/>
  <c r="I1279" i="16"/>
  <c r="D1279" i="16"/>
  <c r="G1279" i="16"/>
  <c r="F1279" i="16"/>
  <c r="J653" i="16"/>
  <c r="E653" i="16"/>
  <c r="U1048" i="16"/>
  <c r="F1167" i="16"/>
  <c r="H1167" i="16"/>
  <c r="G520" i="16"/>
  <c r="F520" i="16"/>
  <c r="D520" i="16"/>
  <c r="U520" i="16" s="1"/>
  <c r="U896" i="16"/>
  <c r="I578" i="16"/>
  <c r="H578" i="16"/>
  <c r="D899" i="16"/>
  <c r="J899" i="16"/>
  <c r="D307" i="16"/>
  <c r="J307" i="16"/>
  <c r="E307" i="16"/>
  <c r="H307" i="16"/>
  <c r="G1241" i="16"/>
  <c r="E1241" i="16"/>
  <c r="I1241" i="16"/>
  <c r="H415" i="16"/>
  <c r="U472" i="16"/>
  <c r="H430" i="16"/>
  <c r="I845" i="16"/>
  <c r="H845" i="16"/>
  <c r="G682" i="16"/>
  <c r="E682" i="16"/>
  <c r="U682" i="16" s="1"/>
  <c r="J430" i="16"/>
  <c r="D415" i="16"/>
  <c r="U415" i="16" s="1"/>
  <c r="F1154" i="16"/>
  <c r="D1154" i="16"/>
  <c r="U745" i="16"/>
  <c r="E451" i="16"/>
  <c r="U451" i="16" s="1"/>
  <c r="F1148" i="16"/>
  <c r="G1148" i="16"/>
  <c r="G1274" i="16"/>
  <c r="J1274" i="16"/>
  <c r="D1274" i="16"/>
  <c r="U1274" i="16" s="1"/>
  <c r="D1126" i="16"/>
  <c r="H1126" i="16"/>
  <c r="S824" i="16"/>
  <c r="Y824" i="16"/>
  <c r="S675" i="16"/>
  <c r="Y675" i="16"/>
  <c r="S645" i="16"/>
  <c r="Y645" i="16"/>
  <c r="S476" i="16"/>
  <c r="Y476" i="16"/>
  <c r="S414" i="16"/>
  <c r="Y414" i="16"/>
  <c r="H277" i="16"/>
  <c r="D277" i="16"/>
  <c r="I277" i="16"/>
  <c r="H1111" i="16"/>
  <c r="J1148" i="16"/>
  <c r="J883" i="16"/>
  <c r="H883" i="16"/>
  <c r="D827" i="16"/>
  <c r="H827" i="16"/>
  <c r="G827" i="16"/>
  <c r="E827" i="16"/>
  <c r="E389" i="16"/>
  <c r="U389" i="16" s="1"/>
  <c r="H389" i="16"/>
  <c r="F883" i="16"/>
  <c r="H709" i="16"/>
  <c r="G1273" i="16"/>
  <c r="G705" i="16"/>
  <c r="H1204" i="16"/>
  <c r="F793" i="16"/>
  <c r="E793" i="16"/>
  <c r="U793" i="16" s="1"/>
  <c r="D583" i="16"/>
  <c r="E583" i="16"/>
  <c r="E687" i="16"/>
  <c r="J687" i="16"/>
  <c r="F687" i="16"/>
  <c r="D687" i="16"/>
  <c r="G687" i="16"/>
  <c r="G1222" i="16"/>
  <c r="H1201" i="16"/>
  <c r="U929" i="16"/>
  <c r="G584" i="16"/>
  <c r="G1034" i="16"/>
  <c r="Y1273" i="16"/>
  <c r="D668" i="16"/>
  <c r="U668" i="16" s="1"/>
  <c r="S422" i="16"/>
  <c r="E517" i="16"/>
  <c r="U517" i="16" s="1"/>
  <c r="J517" i="16"/>
  <c r="E993" i="16"/>
  <c r="U993" i="16" s="1"/>
  <c r="I993" i="16"/>
  <c r="H973" i="16"/>
  <c r="D973" i="16"/>
  <c r="U973" i="16" s="1"/>
  <c r="F1186" i="16"/>
  <c r="E770" i="16"/>
  <c r="U770" i="16" s="1"/>
  <c r="J1105" i="16"/>
  <c r="H1105" i="16"/>
  <c r="G1037" i="16"/>
  <c r="D1037" i="16"/>
  <c r="U1037" i="16" s="1"/>
  <c r="I1037" i="16"/>
  <c r="J1029" i="16"/>
  <c r="H1029" i="16"/>
  <c r="D1029" i="16"/>
  <c r="U1029" i="16" s="1"/>
  <c r="I1029" i="16"/>
  <c r="F590" i="16"/>
  <c r="D590" i="16"/>
  <c r="G916" i="16"/>
  <c r="E1204" i="16"/>
  <c r="U1204" i="16" s="1"/>
  <c r="I684" i="16"/>
  <c r="E684" i="16"/>
  <c r="U684" i="16" s="1"/>
  <c r="H280" i="16"/>
  <c r="E280" i="16"/>
  <c r="U280" i="16" s="1"/>
  <c r="D316" i="16"/>
  <c r="U316" i="16" s="1"/>
  <c r="F316" i="16"/>
  <c r="I316" i="16"/>
  <c r="I312" i="16"/>
  <c r="H312" i="16"/>
  <c r="G312" i="16"/>
  <c r="U403" i="16"/>
  <c r="E574" i="16"/>
  <c r="I391" i="16"/>
  <c r="H1274" i="16"/>
  <c r="S270" i="16"/>
  <c r="F657" i="16"/>
  <c r="G657" i="16"/>
  <c r="D936" i="16"/>
  <c r="U936" i="16" s="1"/>
  <c r="E1249" i="16"/>
  <c r="U1249" i="16" s="1"/>
  <c r="U705" i="16"/>
  <c r="G947" i="16"/>
  <c r="D1148" i="16"/>
  <c r="U1148" i="16" s="1"/>
  <c r="E278" i="16"/>
  <c r="D278" i="16"/>
  <c r="E1194" i="16"/>
  <c r="U1194" i="16" s="1"/>
  <c r="J1194" i="16"/>
  <c r="F1194" i="16"/>
  <c r="U328" i="16"/>
  <c r="E964" i="16"/>
  <c r="Y483" i="16"/>
  <c r="Y877" i="16"/>
  <c r="Y806" i="16"/>
  <c r="Y694" i="16"/>
  <c r="Y938" i="16"/>
  <c r="Y1044" i="16"/>
  <c r="Y798" i="16"/>
  <c r="Y452" i="16"/>
  <c r="Y776" i="16"/>
  <c r="Y457" i="16"/>
  <c r="Y1231" i="16"/>
  <c r="Y1159" i="16"/>
  <c r="Y620" i="16"/>
  <c r="Y514" i="16"/>
  <c r="G495" i="16"/>
  <c r="Y1182" i="16"/>
  <c r="Y1119" i="16"/>
  <c r="Y993" i="16"/>
  <c r="Y749" i="16"/>
  <c r="Y1251" i="16"/>
  <c r="Y709" i="16"/>
  <c r="Y556" i="16"/>
  <c r="U585" i="16"/>
  <c r="U1146" i="16"/>
  <c r="U539" i="16"/>
  <c r="U319" i="16"/>
  <c r="U643" i="16"/>
  <c r="U289" i="16"/>
  <c r="U831" i="16"/>
  <c r="U599" i="16"/>
  <c r="U325" i="16"/>
  <c r="U315" i="16"/>
  <c r="U1098" i="16"/>
  <c r="U1058" i="16"/>
  <c r="U909" i="16"/>
  <c r="U333" i="16"/>
  <c r="U719" i="16"/>
  <c r="U1272" i="16"/>
  <c r="U1185" i="16"/>
  <c r="U722" i="16"/>
  <c r="U780" i="16"/>
  <c r="U276" i="16"/>
  <c r="U1124" i="16"/>
  <c r="U1020" i="16"/>
  <c r="U915" i="16"/>
  <c r="U732" i="16"/>
  <c r="U768" i="16"/>
  <c r="U532" i="16"/>
  <c r="U409" i="16"/>
  <c r="U1217" i="16"/>
  <c r="U1139" i="16"/>
  <c r="U657" i="16"/>
  <c r="U647" i="16"/>
  <c r="U834" i="16"/>
  <c r="U402" i="16"/>
  <c r="U966" i="16"/>
  <c r="U1125" i="16"/>
  <c r="U364" i="16"/>
  <c r="U431" i="16"/>
  <c r="U708" i="16"/>
  <c r="U361" i="16"/>
  <c r="U355" i="16"/>
  <c r="U1022" i="16"/>
  <c r="U801" i="16"/>
  <c r="U540" i="16"/>
  <c r="U1066" i="16"/>
  <c r="U671" i="16"/>
  <c r="U581" i="16"/>
  <c r="U760" i="16"/>
  <c r="U731" i="16"/>
  <c r="U458" i="16"/>
  <c r="U546" i="16"/>
  <c r="U628" i="16"/>
  <c r="U1265" i="16"/>
  <c r="U1213" i="16"/>
  <c r="U404" i="16"/>
  <c r="U1227" i="16"/>
  <c r="U379" i="16"/>
  <c r="U306" i="16"/>
  <c r="U595" i="16"/>
  <c r="U624" i="16"/>
  <c r="U796" i="16"/>
  <c r="U807" i="16"/>
  <c r="U537" i="16"/>
  <c r="U883" i="16"/>
  <c r="U475" i="16"/>
  <c r="D68" i="4"/>
  <c r="U666" i="16"/>
  <c r="U1096" i="16"/>
  <c r="U729" i="16"/>
  <c r="U449" i="16"/>
  <c r="D61" i="4"/>
  <c r="U844" i="16"/>
  <c r="D31" i="4"/>
  <c r="P37" i="4" s="1"/>
  <c r="Q37" i="4" s="1"/>
  <c r="B37" i="4" s="1"/>
  <c r="A24" i="10" s="1"/>
  <c r="D43" i="4"/>
  <c r="U748" i="16"/>
  <c r="U681" i="16"/>
  <c r="U711" i="16"/>
  <c r="U764" i="16"/>
  <c r="U619" i="16"/>
  <c r="U1240" i="16"/>
  <c r="U1270" i="16"/>
  <c r="D49" i="4"/>
  <c r="U613" i="16"/>
  <c r="U737" i="16"/>
  <c r="U593" i="16"/>
  <c r="U823" i="16"/>
  <c r="U535" i="16"/>
  <c r="U979" i="16"/>
  <c r="U1082" i="16"/>
  <c r="U1097" i="16"/>
  <c r="U939" i="16"/>
  <c r="U714" i="16"/>
  <c r="U359" i="16"/>
  <c r="U1218" i="16"/>
  <c r="U1283" i="16"/>
  <c r="U290" i="16"/>
  <c r="U1090" i="16"/>
  <c r="U811" i="16"/>
  <c r="U632" i="16"/>
  <c r="U1059" i="16"/>
  <c r="U332" i="16"/>
  <c r="U488" i="16"/>
  <c r="U960" i="16"/>
  <c r="U568" i="16"/>
  <c r="U538" i="16"/>
  <c r="B32" i="4"/>
  <c r="A20" i="10" s="1"/>
  <c r="U543" i="16"/>
  <c r="U383" i="16"/>
  <c r="U1243" i="16"/>
  <c r="U400" i="16"/>
  <c r="U858" i="16"/>
  <c r="U544" i="16"/>
  <c r="U411" i="16"/>
  <c r="U954" i="16"/>
  <c r="U673" i="16"/>
  <c r="U1260" i="16"/>
  <c r="U503" i="16"/>
  <c r="U756" i="16"/>
  <c r="U867" i="16"/>
  <c r="U809" i="16"/>
  <c r="U1164" i="16"/>
  <c r="U969" i="16"/>
  <c r="U1044" i="16"/>
  <c r="U269" i="16"/>
  <c r="U533" i="16"/>
  <c r="U631" i="16"/>
  <c r="U386" i="16"/>
  <c r="U314" i="16"/>
  <c r="U728" i="16"/>
  <c r="U378" i="16"/>
  <c r="U1229" i="16"/>
  <c r="U587" i="16"/>
  <c r="U633" i="16"/>
  <c r="U1116" i="16"/>
  <c r="U288" i="16"/>
  <c r="U1068" i="16"/>
  <c r="U1228" i="16"/>
  <c r="U424" i="16"/>
  <c r="U299" i="16"/>
  <c r="U394" i="16"/>
  <c r="U1019" i="16"/>
  <c r="U264" i="16"/>
  <c r="U955" i="16"/>
  <c r="U988" i="16"/>
  <c r="U882" i="16"/>
  <c r="U864" i="16"/>
  <c r="U296" i="16"/>
  <c r="U399" i="16"/>
  <c r="U1018" i="16"/>
  <c r="U413" i="16"/>
  <c r="U439" i="16"/>
  <c r="U927" i="16"/>
  <c r="U1161" i="16"/>
  <c r="U777" i="16"/>
  <c r="U1067" i="16"/>
  <c r="U1245" i="16"/>
  <c r="U1123" i="16"/>
  <c r="U420" i="16"/>
  <c r="U772" i="16"/>
  <c r="U938" i="16"/>
  <c r="U611" i="16"/>
  <c r="U648" i="16"/>
  <c r="U952" i="16"/>
  <c r="U570" i="16"/>
  <c r="U1060" i="16"/>
  <c r="U1286" i="16"/>
  <c r="U522" i="16"/>
  <c r="U977" i="16"/>
  <c r="U298" i="16"/>
  <c r="U1209" i="16"/>
  <c r="U812" i="16"/>
  <c r="U336" i="16"/>
  <c r="U1205" i="16"/>
  <c r="U279" i="16"/>
  <c r="U1177" i="16"/>
  <c r="U783" i="16"/>
  <c r="U874" i="16"/>
  <c r="U1168" i="16"/>
  <c r="U516" i="16"/>
  <c r="U843" i="16"/>
  <c r="U1235" i="16"/>
  <c r="B53" i="4"/>
  <c r="A38" i="10" s="1"/>
  <c r="B47" i="4"/>
  <c r="A33" i="10" s="1"/>
  <c r="B65" i="4"/>
  <c r="A48" i="10" s="1"/>
  <c r="B59" i="4"/>
  <c r="A43" i="10" s="1"/>
  <c r="U1011" i="16"/>
  <c r="U273" i="16"/>
  <c r="U507" i="16"/>
  <c r="U385" i="16"/>
  <c r="U995" i="16"/>
  <c r="U497" i="16"/>
  <c r="U1251" i="16"/>
  <c r="U1176" i="16"/>
  <c r="U275" i="16"/>
  <c r="U1269" i="16"/>
  <c r="U1196" i="16"/>
  <c r="U495" i="16"/>
  <c r="U626" i="16"/>
  <c r="U1259" i="16"/>
  <c r="U465" i="16"/>
  <c r="U1203" i="16"/>
  <c r="U456" i="16"/>
  <c r="U912" i="16"/>
  <c r="U1184" i="16"/>
  <c r="U557" i="16"/>
  <c r="U887" i="16"/>
  <c r="U352" i="16"/>
  <c r="U970" i="16"/>
  <c r="U751" i="16"/>
  <c r="U866" i="16"/>
  <c r="U555" i="16"/>
  <c r="U944" i="16"/>
  <c r="U504" i="16"/>
  <c r="U453" i="16"/>
  <c r="U700" i="16"/>
  <c r="U931" i="16"/>
  <c r="U1268" i="16"/>
  <c r="U367" i="16"/>
  <c r="U1237" i="16"/>
  <c r="U848" i="16"/>
  <c r="U1261" i="16"/>
  <c r="U840" i="16"/>
  <c r="U891" i="16"/>
  <c r="U1024" i="16"/>
  <c r="U871" i="16"/>
  <c r="U305" i="16"/>
  <c r="U1100" i="16"/>
  <c r="U815" i="16"/>
  <c r="U481" i="16"/>
  <c r="U375" i="16"/>
  <c r="U697" i="16"/>
  <c r="U695" i="16"/>
  <c r="U287" i="16"/>
  <c r="U989" i="16"/>
  <c r="U1004" i="16"/>
  <c r="U292" i="16"/>
  <c r="U304" i="16"/>
  <c r="U460" i="16"/>
  <c r="U513" i="16"/>
  <c r="U343" i="16"/>
  <c r="U1160" i="16"/>
  <c r="U452" i="16"/>
  <c r="U368" i="16"/>
  <c r="U362" i="16"/>
  <c r="U1129" i="16"/>
  <c r="U636" i="16"/>
  <c r="U660" i="16"/>
  <c r="U339" i="16"/>
  <c r="U985" i="16"/>
  <c r="U914" i="16"/>
  <c r="U649" i="16"/>
  <c r="U1130" i="16"/>
  <c r="U268" i="16"/>
  <c r="U1034" i="16"/>
  <c r="U553" i="16"/>
  <c r="U738" i="16"/>
  <c r="U1002" i="16"/>
  <c r="U963" i="16"/>
  <c r="U716" i="16"/>
  <c r="U1025" i="16"/>
  <c r="U1052" i="16"/>
  <c r="U281" i="16"/>
  <c r="U1120" i="16"/>
  <c r="U876" i="16"/>
  <c r="U857" i="16"/>
  <c r="U898" i="16"/>
  <c r="U992" i="16"/>
  <c r="U1287" i="16"/>
  <c r="U291" i="16"/>
  <c r="U755" i="16"/>
  <c r="U1028" i="16"/>
  <c r="U1210" i="16"/>
  <c r="U536" i="16"/>
  <c r="U345" i="16"/>
  <c r="U771" i="16"/>
  <c r="U691" i="16"/>
  <c r="U1157" i="16"/>
  <c r="U524" i="16"/>
  <c r="U680" i="16"/>
  <c r="U492" i="16"/>
  <c r="U285" i="16"/>
  <c r="U1050" i="16"/>
  <c r="U759" i="16"/>
  <c r="U1033" i="16"/>
  <c r="U1145" i="16"/>
  <c r="U733" i="16"/>
  <c r="U1001" i="16"/>
  <c r="U1193" i="16"/>
  <c r="U323" i="16"/>
  <c r="U903" i="16"/>
  <c r="U346" i="16"/>
  <c r="U945" i="16"/>
  <c r="U707" i="16"/>
  <c r="U1225" i="16"/>
  <c r="U1118" i="16"/>
  <c r="U791" i="16"/>
  <c r="U820" i="16"/>
  <c r="U618" i="16"/>
  <c r="U1105" i="16"/>
  <c r="U849" i="16"/>
  <c r="U1133" i="16"/>
  <c r="U483" i="16"/>
  <c r="U564" i="16"/>
  <c r="U577" i="16"/>
  <c r="U448" i="16"/>
  <c r="U466" i="16"/>
  <c r="U434" i="16"/>
  <c r="U721" i="16"/>
  <c r="U652" i="16"/>
  <c r="U423" i="16"/>
  <c r="U1242" i="16"/>
  <c r="U723" i="16"/>
  <c r="U392" i="16"/>
  <c r="U872" i="16"/>
  <c r="U946" i="16"/>
  <c r="U308" i="16"/>
  <c r="U689" i="16"/>
  <c r="U757" i="16"/>
  <c r="U937" i="16"/>
  <c r="U455" i="16"/>
  <c r="U1026" i="16"/>
  <c r="U596" i="16"/>
  <c r="U616" i="16"/>
  <c r="U747" i="16"/>
  <c r="U1179" i="16"/>
  <c r="U1136" i="16"/>
  <c r="U1171" i="16"/>
  <c r="U549" i="16"/>
  <c r="U1032" i="16"/>
  <c r="U347" i="16"/>
  <c r="U784" i="16"/>
  <c r="U437" i="16"/>
  <c r="U1267" i="16"/>
  <c r="U1284" i="16"/>
  <c r="U391" i="16"/>
  <c r="U600" i="16"/>
  <c r="U496" i="16"/>
  <c r="U1208" i="16"/>
  <c r="U841" i="16"/>
  <c r="U340" i="16"/>
  <c r="U464" i="16"/>
  <c r="U408" i="16"/>
  <c r="U479" i="16"/>
  <c r="U655" i="16"/>
  <c r="U331" i="16"/>
  <c r="U761" i="16"/>
  <c r="U767" i="16"/>
  <c r="U377" i="16"/>
  <c r="U1099" i="16"/>
  <c r="U1173" i="16"/>
  <c r="U1147" i="16"/>
  <c r="U919" i="16"/>
  <c r="U1085" i="16"/>
  <c r="U829" i="16"/>
  <c r="U997" i="16"/>
  <c r="U948" i="16"/>
  <c r="U625" i="16"/>
  <c r="U295" i="16"/>
  <c r="U512" i="16"/>
  <c r="U370" i="16"/>
  <c r="U490" i="16"/>
  <c r="U1273" i="16"/>
  <c r="U847" i="16"/>
  <c r="U395" i="16"/>
  <c r="U1092" i="16"/>
  <c r="U473" i="16"/>
  <c r="U797" i="16"/>
  <c r="U563" i="16"/>
  <c r="U369" i="16"/>
  <c r="U735" i="16"/>
  <c r="U1137" i="16"/>
  <c r="U1045" i="16"/>
  <c r="U1021" i="16"/>
  <c r="U943" i="16"/>
  <c r="U855" i="16"/>
  <c r="U441" i="16"/>
  <c r="U819" i="16"/>
  <c r="U330" i="16"/>
  <c r="U1049" i="16"/>
  <c r="U1257" i="16"/>
  <c r="U800" i="16"/>
  <c r="U860" i="16"/>
  <c r="U947" i="16"/>
  <c r="U879" i="16"/>
  <c r="U935" i="16"/>
  <c r="U1107" i="16"/>
  <c r="U1170" i="16"/>
  <c r="U360" i="16"/>
  <c r="U1128" i="16"/>
  <c r="U416" i="16"/>
  <c r="U659" i="16"/>
  <c r="U589" i="16"/>
  <c r="U1112" i="16"/>
  <c r="U515" i="16"/>
  <c r="U725" i="16"/>
  <c r="U699" i="16"/>
  <c r="U890" i="16"/>
  <c r="U635" i="16"/>
  <c r="U417" i="16"/>
  <c r="U1156" i="16"/>
  <c r="U586" i="16"/>
  <c r="U794" i="16"/>
  <c r="U905" i="16"/>
  <c r="U529" i="16"/>
  <c r="U1220" i="16"/>
  <c r="U508" i="16"/>
  <c r="U609" i="16"/>
  <c r="U897" i="16"/>
  <c r="U401" i="16"/>
  <c r="U703" i="16"/>
  <c r="U810" i="16"/>
  <c r="U828" i="16"/>
  <c r="U1252" i="16"/>
  <c r="U704" i="16"/>
  <c r="U569" i="16"/>
  <c r="U639" i="16"/>
  <c r="U971" i="16"/>
  <c r="U485" i="16"/>
  <c r="U928" i="16"/>
  <c r="U457" i="16"/>
  <c r="U1075" i="16"/>
  <c r="U559" i="16"/>
  <c r="U1056" i="16"/>
  <c r="U353" i="16"/>
  <c r="U1035" i="16"/>
  <c r="U769" i="16"/>
  <c r="U1258" i="16"/>
  <c r="U917" i="16"/>
  <c r="U799" i="16"/>
  <c r="U505" i="16"/>
  <c r="U712" i="16"/>
  <c r="U968" i="16"/>
  <c r="U1153" i="16"/>
  <c r="U877" i="16"/>
  <c r="U1009" i="16"/>
  <c r="U739" i="16"/>
  <c r="U715" i="16"/>
  <c r="U1152" i="16"/>
  <c r="U852" i="16"/>
  <c r="U720" i="16"/>
  <c r="U676" i="16"/>
  <c r="U956" i="16"/>
  <c r="U426" i="16"/>
  <c r="U1212" i="16"/>
  <c r="U1166" i="16"/>
  <c r="U335" i="16"/>
  <c r="U1072" i="16"/>
  <c r="U1000" i="16"/>
  <c r="U713" i="16"/>
  <c r="U856" i="16"/>
  <c r="U787" i="16"/>
  <c r="U556" i="16"/>
  <c r="U1104" i="16"/>
  <c r="U804" i="16"/>
  <c r="U986" i="16"/>
  <c r="U1277" i="16"/>
  <c r="U548" i="16"/>
  <c r="U584" i="16"/>
  <c r="U904" i="16"/>
  <c r="U1013" i="16"/>
  <c r="F972" i="16"/>
  <c r="H972" i="16"/>
  <c r="J972" i="16"/>
  <c r="D972" i="16"/>
  <c r="U617" i="16"/>
  <c r="G1178" i="16"/>
  <c r="I1178" i="16"/>
  <c r="U698" i="16"/>
  <c r="D1178" i="16"/>
  <c r="U1178" i="16" s="1"/>
  <c r="U803" i="16"/>
  <c r="G819" i="16"/>
  <c r="J819" i="16"/>
  <c r="I819" i="16"/>
  <c r="G942" i="16"/>
  <c r="D942" i="16"/>
  <c r="F942" i="16"/>
  <c r="I942" i="16"/>
  <c r="E942" i="16"/>
  <c r="H1178" i="16"/>
  <c r="U885" i="16"/>
  <c r="F1178" i="16"/>
  <c r="E498" i="16"/>
  <c r="H498" i="16"/>
  <c r="F498" i="16"/>
  <c r="U1214" i="16"/>
  <c r="E972" i="16"/>
  <c r="U833" i="16"/>
  <c r="G972" i="16"/>
  <c r="U808" i="16"/>
  <c r="U435" i="16"/>
  <c r="E608" i="16"/>
  <c r="U608" i="16" s="1"/>
  <c r="F608" i="16"/>
  <c r="J1221" i="16"/>
  <c r="E1221" i="16"/>
  <c r="U1121" i="16"/>
  <c r="U301" i="16"/>
  <c r="U1232" i="16"/>
  <c r="G1216" i="16"/>
  <c r="J1216" i="16"/>
  <c r="F1216" i="16"/>
  <c r="E1216" i="16"/>
  <c r="U1216" i="16" s="1"/>
  <c r="H1179" i="16"/>
  <c r="J1179" i="16"/>
  <c r="U644" i="16"/>
  <c r="D1234" i="16"/>
  <c r="I1234" i="16"/>
  <c r="J1234" i="16"/>
  <c r="J664" i="16"/>
  <c r="D664" i="16"/>
  <c r="U664" i="16" s="1"/>
  <c r="I664" i="16"/>
  <c r="F1113" i="16"/>
  <c r="D1113" i="16"/>
  <c r="E1113" i="16"/>
  <c r="C9" i="10"/>
  <c r="D9" i="10"/>
  <c r="G575" i="16"/>
  <c r="J1222" i="16"/>
  <c r="I1244" i="16"/>
  <c r="H1244" i="16"/>
  <c r="E1244" i="16"/>
  <c r="U1244" i="16" s="1"/>
  <c r="F894" i="16"/>
  <c r="I894" i="16"/>
  <c r="U984" i="16"/>
  <c r="F1219" i="16"/>
  <c r="G1219" i="16"/>
  <c r="I1219" i="16"/>
  <c r="D61" i="10"/>
  <c r="C61" i="10"/>
  <c r="D642" i="16"/>
  <c r="G642" i="16"/>
  <c r="I1182" i="16"/>
  <c r="D1182" i="16"/>
  <c r="U1182" i="16" s="1"/>
  <c r="U620" i="16"/>
  <c r="D35" i="10"/>
  <c r="D5" i="10"/>
  <c r="G776" i="16"/>
  <c r="D776" i="16"/>
  <c r="U776" i="16" s="1"/>
  <c r="F776" i="16"/>
  <c r="H776" i="16"/>
  <c r="E579" i="16"/>
  <c r="G579" i="16"/>
  <c r="H579" i="16"/>
  <c r="F579" i="16"/>
  <c r="J579" i="16"/>
  <c r="D25" i="10"/>
  <c r="E1110" i="16"/>
  <c r="G1113" i="16"/>
  <c r="E924" i="16"/>
  <c r="G524" i="16"/>
  <c r="D924" i="16"/>
  <c r="G394" i="16"/>
  <c r="F394" i="16"/>
  <c r="S337" i="16"/>
  <c r="G337" i="16" s="1"/>
  <c r="U1285" i="16"/>
  <c r="S1226" i="16"/>
  <c r="U1106" i="16"/>
  <c r="G1283" i="16"/>
  <c r="H1131" i="16"/>
  <c r="G843" i="16"/>
  <c r="P4" i="16"/>
  <c r="U344" i="16"/>
  <c r="U792" i="16" l="1"/>
  <c r="U1064" i="16"/>
  <c r="U634" i="16"/>
  <c r="U260" i="16"/>
  <c r="U1109" i="16"/>
  <c r="U419" i="16"/>
  <c r="U440" i="16"/>
  <c r="U662" i="16"/>
  <c r="U459" i="16"/>
  <c r="U371" i="16"/>
  <c r="U1158" i="16"/>
  <c r="U976" i="16"/>
  <c r="U951" i="16"/>
  <c r="U753" i="16"/>
  <c r="C20" i="10"/>
  <c r="C25" i="10"/>
  <c r="U1162" i="16"/>
  <c r="C23" i="10"/>
  <c r="U933" i="16"/>
  <c r="U388" i="16"/>
  <c r="C18" i="10"/>
  <c r="U743" i="16"/>
  <c r="C16" i="10"/>
  <c r="C30" i="10"/>
  <c r="C13" i="10"/>
  <c r="U607" i="16"/>
  <c r="U1266" i="16"/>
  <c r="U432" i="16"/>
  <c r="U445" i="16"/>
  <c r="U911" i="16"/>
  <c r="U1081" i="16"/>
  <c r="U1095" i="16"/>
  <c r="U338" i="16"/>
  <c r="U297" i="16"/>
  <c r="U1040" i="16"/>
  <c r="U1192" i="16"/>
  <c r="U514" i="16"/>
  <c r="U774" i="16"/>
  <c r="U642" i="16"/>
  <c r="U814" i="16"/>
  <c r="U418" i="16"/>
  <c r="U282" i="16"/>
  <c r="U1189" i="16"/>
  <c r="U545" i="16"/>
  <c r="U1051" i="16"/>
  <c r="U384" i="16"/>
  <c r="U709" i="16"/>
  <c r="C8" i="16"/>
  <c r="C16" i="16"/>
  <c r="C24" i="16"/>
  <c r="C32" i="16"/>
  <c r="C40" i="16"/>
  <c r="C48" i="16"/>
  <c r="C56" i="16"/>
  <c r="C64" i="16"/>
  <c r="C72" i="16"/>
  <c r="C80" i="16"/>
  <c r="C88" i="16"/>
  <c r="C96" i="16"/>
  <c r="C104" i="16"/>
  <c r="C112" i="16"/>
  <c r="C120" i="16"/>
  <c r="C128" i="16"/>
  <c r="C135" i="16"/>
  <c r="C143" i="16"/>
  <c r="C151" i="16"/>
  <c r="C159" i="16"/>
  <c r="C167" i="16"/>
  <c r="C175" i="16"/>
  <c r="C183" i="16"/>
  <c r="C191" i="16"/>
  <c r="C199" i="16"/>
  <c r="C207" i="16"/>
  <c r="C215" i="16"/>
  <c r="C223" i="16"/>
  <c r="C231" i="16"/>
  <c r="C239" i="16"/>
  <c r="C247" i="16"/>
  <c r="C255" i="16"/>
  <c r="B9" i="16"/>
  <c r="B17" i="16"/>
  <c r="B25" i="16"/>
  <c r="B33" i="16"/>
  <c r="B41" i="16"/>
  <c r="B49" i="16"/>
  <c r="B57" i="16"/>
  <c r="B65" i="16"/>
  <c r="B73" i="16"/>
  <c r="B81" i="16"/>
  <c r="B89" i="16"/>
  <c r="B97" i="16"/>
  <c r="B105" i="16"/>
  <c r="B113" i="16"/>
  <c r="B121" i="16"/>
  <c r="B129" i="16"/>
  <c r="B136" i="16"/>
  <c r="B144" i="16"/>
  <c r="B152" i="16"/>
  <c r="B160" i="16"/>
  <c r="B168" i="16"/>
  <c r="B176" i="16"/>
  <c r="B184" i="16"/>
  <c r="B192" i="16"/>
  <c r="B200" i="16"/>
  <c r="B208" i="16"/>
  <c r="B216" i="16"/>
  <c r="B224" i="16"/>
  <c r="B232" i="16"/>
  <c r="B240" i="16"/>
  <c r="B248" i="16"/>
  <c r="B256" i="16"/>
  <c r="C9" i="16"/>
  <c r="C17" i="16"/>
  <c r="C25" i="16"/>
  <c r="C33" i="16"/>
  <c r="C41" i="16"/>
  <c r="C49" i="16"/>
  <c r="C57" i="16"/>
  <c r="C65" i="16"/>
  <c r="C73" i="16"/>
  <c r="C81" i="16"/>
  <c r="C89" i="16"/>
  <c r="C97" i="16"/>
  <c r="C105" i="16"/>
  <c r="S105" i="16" s="1"/>
  <c r="C113" i="16"/>
  <c r="C121" i="16"/>
  <c r="C129" i="16"/>
  <c r="C136" i="16"/>
  <c r="C144" i="16"/>
  <c r="C152" i="16"/>
  <c r="C160" i="16"/>
  <c r="S160" i="16" s="1"/>
  <c r="F160" i="16" s="1"/>
  <c r="C168" i="16"/>
  <c r="S168" i="16" s="1"/>
  <c r="G168" i="16" s="1"/>
  <c r="C176" i="16"/>
  <c r="C184" i="16"/>
  <c r="C192" i="16"/>
  <c r="C200" i="16"/>
  <c r="C208" i="16"/>
  <c r="C216" i="16"/>
  <c r="C224" i="16"/>
  <c r="C232" i="16"/>
  <c r="C240" i="16"/>
  <c r="C248" i="16"/>
  <c r="C256" i="16"/>
  <c r="B10" i="16"/>
  <c r="B18" i="16"/>
  <c r="B26" i="16"/>
  <c r="B34" i="16"/>
  <c r="B42" i="16"/>
  <c r="B50" i="16"/>
  <c r="B58" i="16"/>
  <c r="B66" i="16"/>
  <c r="B74" i="16"/>
  <c r="B82" i="16"/>
  <c r="B90" i="16"/>
  <c r="B98" i="16"/>
  <c r="B106" i="16"/>
  <c r="B114" i="16"/>
  <c r="B122" i="16"/>
  <c r="B130" i="16"/>
  <c r="B137" i="16"/>
  <c r="B145" i="16"/>
  <c r="B153" i="16"/>
  <c r="B161" i="16"/>
  <c r="B169" i="16"/>
  <c r="B177" i="16"/>
  <c r="B185" i="16"/>
  <c r="B193" i="16"/>
  <c r="B201" i="16"/>
  <c r="B209" i="16"/>
  <c r="B217" i="16"/>
  <c r="B225" i="16"/>
  <c r="B233" i="16"/>
  <c r="B241" i="16"/>
  <c r="B249" i="16"/>
  <c r="B257" i="16"/>
  <c r="C10" i="16"/>
  <c r="C18" i="16"/>
  <c r="C26" i="16"/>
  <c r="C34" i="16"/>
  <c r="C42" i="16"/>
  <c r="C50" i="16"/>
  <c r="C58" i="16"/>
  <c r="C66" i="16"/>
  <c r="C74" i="16"/>
  <c r="C82" i="16"/>
  <c r="C90" i="16"/>
  <c r="C98" i="16"/>
  <c r="C106" i="16"/>
  <c r="C114" i="16"/>
  <c r="C122" i="16"/>
  <c r="C130" i="16"/>
  <c r="S130" i="16" s="1"/>
  <c r="G130" i="16" s="1"/>
  <c r="C137" i="16"/>
  <c r="C145" i="16"/>
  <c r="C153" i="16"/>
  <c r="C161" i="16"/>
  <c r="C169" i="16"/>
  <c r="C177" i="16"/>
  <c r="C185" i="16"/>
  <c r="C193" i="16"/>
  <c r="C201" i="16"/>
  <c r="C209" i="16"/>
  <c r="C217" i="16"/>
  <c r="C225" i="16"/>
  <c r="C233" i="16"/>
  <c r="C241" i="16"/>
  <c r="C249" i="16"/>
  <c r="C257" i="16"/>
  <c r="S257" i="16" s="1"/>
  <c r="B11" i="16"/>
  <c r="B19" i="16"/>
  <c r="B27" i="16"/>
  <c r="B35" i="16"/>
  <c r="B43" i="16"/>
  <c r="B51" i="16"/>
  <c r="B59" i="16"/>
  <c r="B67" i="16"/>
  <c r="B75" i="16"/>
  <c r="B83" i="16"/>
  <c r="B91" i="16"/>
  <c r="B99" i="16"/>
  <c r="B107" i="16"/>
  <c r="B115" i="16"/>
  <c r="B123" i="16"/>
  <c r="B131" i="16"/>
  <c r="B138" i="16"/>
  <c r="B146" i="16"/>
  <c r="B154" i="16"/>
  <c r="B162" i="16"/>
  <c r="B170" i="16"/>
  <c r="B178" i="16"/>
  <c r="B186" i="16"/>
  <c r="B194" i="16"/>
  <c r="B202" i="16"/>
  <c r="B210" i="16"/>
  <c r="B218" i="16"/>
  <c r="B226" i="16"/>
  <c r="B234" i="16"/>
  <c r="B242" i="16"/>
  <c r="B250" i="16"/>
  <c r="B258" i="16"/>
  <c r="C11" i="16"/>
  <c r="C19" i="16"/>
  <c r="C27" i="16"/>
  <c r="C35" i="16"/>
  <c r="C43" i="16"/>
  <c r="C51" i="16"/>
  <c r="C59" i="16"/>
  <c r="C67" i="16"/>
  <c r="C75" i="16"/>
  <c r="C83" i="16"/>
  <c r="C91" i="16"/>
  <c r="C99" i="16"/>
  <c r="C107" i="16"/>
  <c r="C115" i="16"/>
  <c r="C123" i="16"/>
  <c r="C131" i="16"/>
  <c r="C138" i="16"/>
  <c r="C146" i="16"/>
  <c r="C154" i="16"/>
  <c r="C162" i="16"/>
  <c r="C170" i="16"/>
  <c r="C178" i="16"/>
  <c r="C186" i="16"/>
  <c r="C194" i="16"/>
  <c r="C202" i="16"/>
  <c r="C210" i="16"/>
  <c r="C218" i="16"/>
  <c r="C226" i="16"/>
  <c r="C234" i="16"/>
  <c r="C242" i="16"/>
  <c r="C250" i="16"/>
  <c r="C258" i="16"/>
  <c r="B12" i="16"/>
  <c r="B20" i="16"/>
  <c r="B28" i="16"/>
  <c r="B36" i="16"/>
  <c r="B44" i="16"/>
  <c r="B52" i="16"/>
  <c r="B60" i="16"/>
  <c r="B68" i="16"/>
  <c r="B76" i="16"/>
  <c r="B84" i="16"/>
  <c r="B92" i="16"/>
  <c r="B100" i="16"/>
  <c r="B108" i="16"/>
  <c r="B116" i="16"/>
  <c r="B124" i="16"/>
  <c r="B139" i="16"/>
  <c r="B147" i="16"/>
  <c r="B155" i="16"/>
  <c r="B163" i="16"/>
  <c r="B171" i="16"/>
  <c r="B179" i="16"/>
  <c r="B187" i="16"/>
  <c r="B195" i="16"/>
  <c r="B203" i="16"/>
  <c r="B211" i="16"/>
  <c r="B219" i="16"/>
  <c r="B227" i="16"/>
  <c r="B235" i="16"/>
  <c r="B243" i="16"/>
  <c r="B251" i="16"/>
  <c r="B259" i="16"/>
  <c r="C12" i="16"/>
  <c r="C20" i="16"/>
  <c r="C28" i="16"/>
  <c r="C36" i="16"/>
  <c r="C44" i="16"/>
  <c r="C52" i="16"/>
  <c r="C60" i="16"/>
  <c r="C68" i="16"/>
  <c r="C76" i="16"/>
  <c r="C84" i="16"/>
  <c r="C92" i="16"/>
  <c r="C100" i="16"/>
  <c r="C108" i="16"/>
  <c r="C116" i="16"/>
  <c r="C124" i="16"/>
  <c r="C139" i="16"/>
  <c r="C147" i="16"/>
  <c r="C155" i="16"/>
  <c r="C163" i="16"/>
  <c r="C171" i="16"/>
  <c r="C179" i="16"/>
  <c r="C187" i="16"/>
  <c r="C195" i="16"/>
  <c r="C203" i="16"/>
  <c r="C211" i="16"/>
  <c r="C219" i="16"/>
  <c r="C227" i="16"/>
  <c r="C235" i="16"/>
  <c r="C243" i="16"/>
  <c r="C251" i="16"/>
  <c r="C259" i="16"/>
  <c r="B5" i="16"/>
  <c r="B13" i="16"/>
  <c r="B21" i="16"/>
  <c r="B29" i="16"/>
  <c r="B37" i="16"/>
  <c r="B45" i="16"/>
  <c r="B53" i="16"/>
  <c r="B61" i="16"/>
  <c r="B69" i="16"/>
  <c r="B77" i="16"/>
  <c r="B85" i="16"/>
  <c r="B93" i="16"/>
  <c r="B101" i="16"/>
  <c r="B109" i="16"/>
  <c r="B117" i="16"/>
  <c r="B125" i="16"/>
  <c r="B132" i="16"/>
  <c r="B140" i="16"/>
  <c r="B148" i="16"/>
  <c r="B156" i="16"/>
  <c r="B164" i="16"/>
  <c r="B172" i="16"/>
  <c r="B180" i="16"/>
  <c r="B188" i="16"/>
  <c r="B196" i="16"/>
  <c r="B204" i="16"/>
  <c r="B212" i="16"/>
  <c r="B220" i="16"/>
  <c r="B228" i="16"/>
  <c r="B236" i="16"/>
  <c r="B244" i="16"/>
  <c r="B252" i="16"/>
  <c r="C6" i="16"/>
  <c r="C14" i="16"/>
  <c r="C22" i="16"/>
  <c r="C30" i="16"/>
  <c r="C38" i="16"/>
  <c r="C46" i="16"/>
  <c r="C54" i="16"/>
  <c r="C62" i="16"/>
  <c r="C70" i="16"/>
  <c r="C78" i="16"/>
  <c r="C86" i="16"/>
  <c r="C94" i="16"/>
  <c r="C102" i="16"/>
  <c r="C110" i="16"/>
  <c r="C118" i="16"/>
  <c r="C126" i="16"/>
  <c r="C133" i="16"/>
  <c r="C141" i="16"/>
  <c r="C149" i="16"/>
  <c r="C157" i="16"/>
  <c r="C165" i="16"/>
  <c r="C173" i="16"/>
  <c r="C181" i="16"/>
  <c r="C189" i="16"/>
  <c r="C197" i="16"/>
  <c r="C205" i="16"/>
  <c r="C213" i="16"/>
  <c r="C221" i="16"/>
  <c r="C229" i="16"/>
  <c r="C237" i="16"/>
  <c r="C245" i="16"/>
  <c r="C253" i="16"/>
  <c r="B7" i="16"/>
  <c r="B15" i="16"/>
  <c r="B23" i="16"/>
  <c r="B31" i="16"/>
  <c r="B39" i="16"/>
  <c r="B47" i="16"/>
  <c r="B55" i="16"/>
  <c r="B63" i="16"/>
  <c r="B71" i="16"/>
  <c r="B79" i="16"/>
  <c r="B87" i="16"/>
  <c r="B95" i="16"/>
  <c r="B103" i="16"/>
  <c r="B111" i="16"/>
  <c r="B119" i="16"/>
  <c r="B127" i="16"/>
  <c r="B134" i="16"/>
  <c r="B142" i="16"/>
  <c r="B150" i="16"/>
  <c r="B158" i="16"/>
  <c r="B166" i="16"/>
  <c r="B174" i="16"/>
  <c r="B182" i="16"/>
  <c r="B190" i="16"/>
  <c r="B198" i="16"/>
  <c r="B206" i="16"/>
  <c r="B214" i="16"/>
  <c r="B222" i="16"/>
  <c r="B230" i="16"/>
  <c r="B238" i="16"/>
  <c r="B246" i="16"/>
  <c r="B254" i="16"/>
  <c r="C7" i="16"/>
  <c r="S7" i="16" s="1"/>
  <c r="D7" i="16" s="1"/>
  <c r="C15" i="16"/>
  <c r="C23" i="16"/>
  <c r="C31" i="16"/>
  <c r="C39" i="16"/>
  <c r="S39" i="16" s="1"/>
  <c r="F39" i="16" s="1"/>
  <c r="C47" i="16"/>
  <c r="C55" i="16"/>
  <c r="C63" i="16"/>
  <c r="S63" i="16" s="1"/>
  <c r="G63" i="16" s="1"/>
  <c r="C71" i="16"/>
  <c r="S71" i="16" s="1"/>
  <c r="G71" i="16" s="1"/>
  <c r="C79" i="16"/>
  <c r="S79" i="16" s="1"/>
  <c r="G79" i="16" s="1"/>
  <c r="C87" i="16"/>
  <c r="S87" i="16" s="1"/>
  <c r="E87" i="16" s="1"/>
  <c r="C95" i="16"/>
  <c r="S95" i="16" s="1"/>
  <c r="G95" i="16" s="1"/>
  <c r="C103" i="16"/>
  <c r="S103" i="16" s="1"/>
  <c r="E103" i="16" s="1"/>
  <c r="C111" i="16"/>
  <c r="C119" i="16"/>
  <c r="C127" i="16"/>
  <c r="C134" i="16"/>
  <c r="S134" i="16" s="1"/>
  <c r="H134" i="16" s="1"/>
  <c r="C142" i="16"/>
  <c r="S142" i="16" s="1"/>
  <c r="G142" i="16" s="1"/>
  <c r="C150" i="16"/>
  <c r="C158" i="16"/>
  <c r="S158" i="16" s="1"/>
  <c r="D158" i="16" s="1"/>
  <c r="C166" i="16"/>
  <c r="C174" i="16"/>
  <c r="C182" i="16"/>
  <c r="S182" i="16" s="1"/>
  <c r="G182" i="16" s="1"/>
  <c r="C190" i="16"/>
  <c r="S190" i="16" s="1"/>
  <c r="F190" i="16" s="1"/>
  <c r="C198" i="16"/>
  <c r="C206" i="16"/>
  <c r="S206" i="16" s="1"/>
  <c r="G206" i="16" s="1"/>
  <c r="C214" i="16"/>
  <c r="C222" i="16"/>
  <c r="S222" i="16" s="1"/>
  <c r="G222" i="16" s="1"/>
  <c r="C230" i="16"/>
  <c r="C238" i="16"/>
  <c r="S238" i="16" s="1"/>
  <c r="I238" i="16" s="1"/>
  <c r="C246" i="16"/>
  <c r="S246" i="16" s="1"/>
  <c r="G246" i="16" s="1"/>
  <c r="C254" i="16"/>
  <c r="B8" i="16"/>
  <c r="B16" i="16"/>
  <c r="Y16" i="16" s="1"/>
  <c r="B24" i="16"/>
  <c r="B32" i="16"/>
  <c r="B40" i="16"/>
  <c r="B48" i="16"/>
  <c r="B56" i="16"/>
  <c r="B64" i="16"/>
  <c r="B72" i="16"/>
  <c r="B80" i="16"/>
  <c r="Y80" i="16" s="1"/>
  <c r="B88" i="16"/>
  <c r="B96" i="16"/>
  <c r="B104" i="16"/>
  <c r="B112" i="16"/>
  <c r="B120" i="16"/>
  <c r="B128" i="16"/>
  <c r="B135" i="16"/>
  <c r="B143" i="16"/>
  <c r="Y143" i="16" s="1"/>
  <c r="B151" i="16"/>
  <c r="B159" i="16"/>
  <c r="B167" i="16"/>
  <c r="B175" i="16"/>
  <c r="B183" i="16"/>
  <c r="B191" i="16"/>
  <c r="B199" i="16"/>
  <c r="B207" i="16"/>
  <c r="B215" i="16"/>
  <c r="B223" i="16"/>
  <c r="B231" i="16"/>
  <c r="B239" i="16"/>
  <c r="B247" i="16"/>
  <c r="B255" i="16"/>
  <c r="C29" i="16"/>
  <c r="C93" i="16"/>
  <c r="C156" i="16"/>
  <c r="C220" i="16"/>
  <c r="B38" i="16"/>
  <c r="Y38" i="16" s="1"/>
  <c r="B102" i="16"/>
  <c r="B165" i="16"/>
  <c r="B229" i="16"/>
  <c r="C37" i="16"/>
  <c r="C101" i="16"/>
  <c r="C164" i="16"/>
  <c r="C228" i="16"/>
  <c r="B46" i="16"/>
  <c r="B110" i="16"/>
  <c r="Y110" i="16" s="1"/>
  <c r="B173" i="16"/>
  <c r="B237" i="16"/>
  <c r="C45" i="16"/>
  <c r="C109" i="16"/>
  <c r="C172" i="16"/>
  <c r="C236" i="16"/>
  <c r="B54" i="16"/>
  <c r="B118" i="16"/>
  <c r="B181" i="16"/>
  <c r="Y181" i="16" s="1"/>
  <c r="B245" i="16"/>
  <c r="C53" i="16"/>
  <c r="C117" i="16"/>
  <c r="C180" i="16"/>
  <c r="C244" i="16"/>
  <c r="B62" i="16"/>
  <c r="B126" i="16"/>
  <c r="B189" i="16"/>
  <c r="B253" i="16"/>
  <c r="Y253" i="16" s="1"/>
  <c r="C61" i="16"/>
  <c r="C125" i="16"/>
  <c r="C188" i="16"/>
  <c r="C252" i="16"/>
  <c r="B6" i="16"/>
  <c r="B70" i="16"/>
  <c r="B133" i="16"/>
  <c r="B197" i="16"/>
  <c r="C13" i="16"/>
  <c r="C77" i="16"/>
  <c r="C140" i="16"/>
  <c r="C204" i="16"/>
  <c r="B22" i="16"/>
  <c r="B86" i="16"/>
  <c r="B149" i="16"/>
  <c r="B213" i="16"/>
  <c r="C21" i="16"/>
  <c r="C85" i="16"/>
  <c r="C148" i="16"/>
  <c r="C212" i="16"/>
  <c r="B30" i="16"/>
  <c r="B94" i="16"/>
  <c r="B157" i="16"/>
  <c r="B221" i="16"/>
  <c r="C196" i="16"/>
  <c r="B14" i="16"/>
  <c r="Y14" i="16" s="1"/>
  <c r="B78" i="16"/>
  <c r="B141" i="16"/>
  <c r="B205" i="16"/>
  <c r="C69" i="16"/>
  <c r="C132" i="16"/>
  <c r="C5" i="16"/>
  <c r="U1087" i="16"/>
  <c r="U1089" i="16"/>
  <c r="U746" i="16"/>
  <c r="U1207" i="16"/>
  <c r="U550" i="16"/>
  <c r="U964" i="16"/>
  <c r="U591" i="16"/>
  <c r="J486" i="16"/>
  <c r="H486" i="16"/>
  <c r="E486" i="16"/>
  <c r="D486" i="16"/>
  <c r="F486" i="16"/>
  <c r="I486" i="16"/>
  <c r="J758" i="16"/>
  <c r="H758" i="16"/>
  <c r="E758" i="16"/>
  <c r="D758" i="16"/>
  <c r="F758" i="16"/>
  <c r="G967" i="16"/>
  <c r="F967" i="16"/>
  <c r="J967" i="16"/>
  <c r="E967" i="16"/>
  <c r="H967" i="16"/>
  <c r="D967" i="16"/>
  <c r="I967" i="16"/>
  <c r="I606" i="16"/>
  <c r="D606" i="16"/>
  <c r="H750" i="16"/>
  <c r="I750" i="16"/>
  <c r="F750" i="16"/>
  <c r="E750" i="16"/>
  <c r="D750" i="16"/>
  <c r="J750" i="16"/>
  <c r="E934" i="16"/>
  <c r="H934" i="16"/>
  <c r="F934" i="16"/>
  <c r="I934" i="16"/>
  <c r="J934" i="16"/>
  <c r="D934" i="16"/>
  <c r="F1127" i="16"/>
  <c r="H1127" i="16"/>
  <c r="E1127" i="16"/>
  <c r="I1127" i="16"/>
  <c r="D1127" i="16"/>
  <c r="J1127" i="16"/>
  <c r="I734" i="16"/>
  <c r="H734" i="16"/>
  <c r="D734" i="16"/>
  <c r="E734" i="16"/>
  <c r="F734" i="16"/>
  <c r="J734" i="16"/>
  <c r="I494" i="16"/>
  <c r="H494" i="16"/>
  <c r="J494" i="16"/>
  <c r="F494" i="16"/>
  <c r="E494" i="16"/>
  <c r="D494" i="16"/>
  <c r="H694" i="16"/>
  <c r="I694" i="16"/>
  <c r="D694" i="16"/>
  <c r="E694" i="16"/>
  <c r="J694" i="16"/>
  <c r="F694" i="16"/>
  <c r="I678" i="16"/>
  <c r="E678" i="16"/>
  <c r="H678" i="16"/>
  <c r="J678" i="16"/>
  <c r="D678" i="16"/>
  <c r="F678" i="16"/>
  <c r="H942" i="16"/>
  <c r="J942" i="16"/>
  <c r="F637" i="16"/>
  <c r="G758" i="16"/>
  <c r="I910" i="16"/>
  <c r="I358" i="16"/>
  <c r="E358" i="16"/>
  <c r="U358" i="16" s="1"/>
  <c r="F358" i="16"/>
  <c r="H358" i="16"/>
  <c r="D1111" i="16"/>
  <c r="E1111" i="16"/>
  <c r="I1111" i="16"/>
  <c r="F1111" i="16"/>
  <c r="J1111" i="16"/>
  <c r="J342" i="16"/>
  <c r="I342" i="16"/>
  <c r="E342" i="16"/>
  <c r="D342" i="16"/>
  <c r="H342" i="16"/>
  <c r="F342" i="16"/>
  <c r="I462" i="16"/>
  <c r="J462" i="16"/>
  <c r="H462" i="16"/>
  <c r="F462" i="16"/>
  <c r="D462" i="16"/>
  <c r="E462" i="16"/>
  <c r="F1143" i="16"/>
  <c r="D1143" i="16"/>
  <c r="I1143" i="16"/>
  <c r="E1143" i="16"/>
  <c r="H1143" i="16"/>
  <c r="E1263" i="16"/>
  <c r="H1263" i="16"/>
  <c r="I1263" i="16"/>
  <c r="F1263" i="16"/>
  <c r="D1263" i="16"/>
  <c r="J1263" i="16"/>
  <c r="F582" i="16"/>
  <c r="I582" i="16"/>
  <c r="J582" i="16"/>
  <c r="D582" i="16"/>
  <c r="E582" i="16"/>
  <c r="H582" i="16"/>
  <c r="F710" i="16"/>
  <c r="D710" i="16"/>
  <c r="J710" i="16"/>
  <c r="H710" i="16"/>
  <c r="I710" i="16"/>
  <c r="E710" i="16"/>
  <c r="J870" i="16"/>
  <c r="F870" i="16"/>
  <c r="I870" i="16"/>
  <c r="D870" i="16"/>
  <c r="E870" i="16"/>
  <c r="H870" i="16"/>
  <c r="D1023" i="16"/>
  <c r="F1023" i="16"/>
  <c r="E1023" i="16"/>
  <c r="H1023" i="16"/>
  <c r="J1023" i="16"/>
  <c r="I1023" i="16"/>
  <c r="G1199" i="16"/>
  <c r="D1199" i="16"/>
  <c r="J1199" i="16"/>
  <c r="I1199" i="16"/>
  <c r="F1199" i="16"/>
  <c r="E1199" i="16"/>
  <c r="H1199" i="16"/>
  <c r="E350" i="16"/>
  <c r="F350" i="16"/>
  <c r="J350" i="16"/>
  <c r="H350" i="16"/>
  <c r="I350" i="16"/>
  <c r="D350" i="16"/>
  <c r="J742" i="16"/>
  <c r="D742" i="16"/>
  <c r="U742" i="16" s="1"/>
  <c r="H878" i="16"/>
  <c r="D878" i="16"/>
  <c r="I878" i="16"/>
  <c r="E878" i="16"/>
  <c r="J878" i="16"/>
  <c r="F878" i="16"/>
  <c r="F1039" i="16"/>
  <c r="D1039" i="16"/>
  <c r="U1039" i="16" s="1"/>
  <c r="I1039" i="16"/>
  <c r="E1135" i="16"/>
  <c r="F1135" i="16"/>
  <c r="D1135" i="16"/>
  <c r="H1135" i="16"/>
  <c r="J1135" i="16"/>
  <c r="I1135" i="16"/>
  <c r="E637" i="16"/>
  <c r="U637" i="16" s="1"/>
  <c r="D526" i="16"/>
  <c r="J526" i="16"/>
  <c r="H526" i="16"/>
  <c r="I526" i="16"/>
  <c r="F526" i="16"/>
  <c r="E526" i="16"/>
  <c r="H806" i="16"/>
  <c r="D806" i="16"/>
  <c r="J806" i="16"/>
  <c r="E806" i="16"/>
  <c r="I806" i="16"/>
  <c r="F806" i="16"/>
  <c r="H654" i="16"/>
  <c r="E654" i="16"/>
  <c r="I654" i="16"/>
  <c r="J654" i="16"/>
  <c r="F654" i="16"/>
  <c r="D654" i="16"/>
  <c r="H798" i="16"/>
  <c r="I798" i="16"/>
  <c r="F798" i="16"/>
  <c r="D798" i="16"/>
  <c r="J798" i="16"/>
  <c r="E798" i="16"/>
  <c r="F991" i="16"/>
  <c r="I991" i="16"/>
  <c r="H991" i="16"/>
  <c r="E991" i="16"/>
  <c r="D991" i="16"/>
  <c r="J991" i="16"/>
  <c r="D1175" i="16"/>
  <c r="I1175" i="16"/>
  <c r="J1175" i="16"/>
  <c r="F1175" i="16"/>
  <c r="E1175" i="16"/>
  <c r="H1175" i="16"/>
  <c r="J286" i="16"/>
  <c r="H286" i="16"/>
  <c r="D286" i="16"/>
  <c r="F286" i="16"/>
  <c r="I286" i="16"/>
  <c r="E286" i="16"/>
  <c r="E430" i="16"/>
  <c r="U430" i="16" s="1"/>
  <c r="I430" i="16"/>
  <c r="I542" i="16"/>
  <c r="E542" i="16"/>
  <c r="U542" i="16" s="1"/>
  <c r="H1271" i="16"/>
  <c r="D1271" i="16"/>
  <c r="E1271" i="16"/>
  <c r="I1271" i="16"/>
  <c r="F1271" i="16"/>
  <c r="J1271" i="16"/>
  <c r="H726" i="16"/>
  <c r="J726" i="16"/>
  <c r="D726" i="16"/>
  <c r="I726" i="16"/>
  <c r="E726" i="16"/>
  <c r="F726" i="16"/>
  <c r="I374" i="16"/>
  <c r="J374" i="16"/>
  <c r="H606" i="16"/>
  <c r="H637" i="16"/>
  <c r="E910" i="16"/>
  <c r="E406" i="16"/>
  <c r="F406" i="16"/>
  <c r="J406" i="16"/>
  <c r="D406" i="16"/>
  <c r="I406" i="16"/>
  <c r="H406" i="16"/>
  <c r="D1015" i="16"/>
  <c r="E1015" i="16"/>
  <c r="F1015" i="16"/>
  <c r="H1015" i="16"/>
  <c r="I1015" i="16"/>
  <c r="J1015" i="16"/>
  <c r="E510" i="16"/>
  <c r="H510" i="16"/>
  <c r="I510" i="16"/>
  <c r="J510" i="16"/>
  <c r="D510" i="16"/>
  <c r="F510" i="16"/>
  <c r="F782" i="16"/>
  <c r="I782" i="16"/>
  <c r="H782" i="16"/>
  <c r="D782" i="16"/>
  <c r="J782" i="16"/>
  <c r="E782" i="16"/>
  <c r="D1007" i="16"/>
  <c r="E1007" i="16"/>
  <c r="H1007" i="16"/>
  <c r="J1007" i="16"/>
  <c r="F1007" i="16"/>
  <c r="I1007" i="16"/>
  <c r="G334" i="16"/>
  <c r="D334" i="16"/>
  <c r="U334" i="16" s="1"/>
  <c r="H622" i="16"/>
  <c r="I622" i="16"/>
  <c r="E622" i="16"/>
  <c r="F622" i="16"/>
  <c r="D622" i="16"/>
  <c r="J622" i="16"/>
  <c r="J766" i="16"/>
  <c r="D766" i="16"/>
  <c r="H766" i="16"/>
  <c r="E766" i="16"/>
  <c r="F766" i="16"/>
  <c r="I766" i="16"/>
  <c r="E918" i="16"/>
  <c r="F918" i="16"/>
  <c r="J918" i="16"/>
  <c r="I918" i="16"/>
  <c r="D918" i="16"/>
  <c r="H918" i="16"/>
  <c r="I1071" i="16"/>
  <c r="D1071" i="16"/>
  <c r="J1071" i="16"/>
  <c r="H1071" i="16"/>
  <c r="E1071" i="16"/>
  <c r="F1071" i="16"/>
  <c r="F398" i="16"/>
  <c r="D398" i="16"/>
  <c r="J398" i="16"/>
  <c r="H398" i="16"/>
  <c r="E398" i="16"/>
  <c r="I398" i="16"/>
  <c r="J926" i="16"/>
  <c r="E926" i="16"/>
  <c r="H926" i="16"/>
  <c r="D926" i="16"/>
  <c r="D598" i="16"/>
  <c r="I598" i="16"/>
  <c r="E598" i="16"/>
  <c r="J598" i="16"/>
  <c r="F598" i="16"/>
  <c r="H598" i="16"/>
  <c r="I838" i="16"/>
  <c r="J838" i="16"/>
  <c r="D838" i="16"/>
  <c r="F838" i="16"/>
  <c r="E838" i="16"/>
  <c r="H838" i="16"/>
  <c r="D999" i="16"/>
  <c r="I999" i="16"/>
  <c r="F999" i="16"/>
  <c r="H999" i="16"/>
  <c r="J999" i="16"/>
  <c r="E999" i="16"/>
  <c r="J1215" i="16"/>
  <c r="D1215" i="16"/>
  <c r="F1215" i="16"/>
  <c r="E1215" i="16"/>
  <c r="H1215" i="16"/>
  <c r="I1215" i="16"/>
  <c r="E374" i="16"/>
  <c r="H374" i="16"/>
  <c r="I637" i="16"/>
  <c r="U412" i="16"/>
  <c r="U778" i="16"/>
  <c r="U640" i="16"/>
  <c r="D438" i="16"/>
  <c r="U438" i="16" s="1"/>
  <c r="I438" i="16"/>
  <c r="F574" i="16"/>
  <c r="D574" i="16"/>
  <c r="U574" i="16" s="1"/>
  <c r="I574" i="16"/>
  <c r="J574" i="16"/>
  <c r="H574" i="16"/>
  <c r="G854" i="16"/>
  <c r="I854" i="16"/>
  <c r="E854" i="16"/>
  <c r="J854" i="16"/>
  <c r="D854" i="16"/>
  <c r="H854" i="16"/>
  <c r="F854" i="16"/>
  <c r="E1151" i="16"/>
  <c r="I1151" i="16"/>
  <c r="D1151" i="16"/>
  <c r="J1151" i="16"/>
  <c r="F1151" i="16"/>
  <c r="H1151" i="16"/>
  <c r="D1280" i="16"/>
  <c r="F1280" i="16"/>
  <c r="I1280" i="16"/>
  <c r="H1280" i="16"/>
  <c r="J1280" i="16"/>
  <c r="E1280" i="16"/>
  <c r="E390" i="16"/>
  <c r="D390" i="16"/>
  <c r="H390" i="16"/>
  <c r="J390" i="16"/>
  <c r="F390" i="16"/>
  <c r="I390" i="16"/>
  <c r="E846" i="16"/>
  <c r="F846" i="16"/>
  <c r="I846" i="16"/>
  <c r="D846" i="16"/>
  <c r="H846" i="16"/>
  <c r="J846" i="16"/>
  <c r="E1031" i="16"/>
  <c r="J1031" i="16"/>
  <c r="H1031" i="16"/>
  <c r="I1031" i="16"/>
  <c r="D1031" i="16"/>
  <c r="F1031" i="16"/>
  <c r="H318" i="16"/>
  <c r="I318" i="16"/>
  <c r="D318" i="16"/>
  <c r="F318" i="16"/>
  <c r="E318" i="16"/>
  <c r="J318" i="16"/>
  <c r="H1191" i="16"/>
  <c r="J1191" i="16"/>
  <c r="F1191" i="16"/>
  <c r="I1191" i="16"/>
  <c r="D1191" i="16"/>
  <c r="U1191" i="16" s="1"/>
  <c r="H478" i="16"/>
  <c r="J478" i="16"/>
  <c r="E478" i="16"/>
  <c r="D478" i="16"/>
  <c r="I478" i="16"/>
  <c r="F478" i="16"/>
  <c r="H1119" i="16"/>
  <c r="F1119" i="16"/>
  <c r="J1119" i="16"/>
  <c r="I1247" i="16"/>
  <c r="D1247" i="16"/>
  <c r="E1247" i="16"/>
  <c r="F1247" i="16"/>
  <c r="H1247" i="16"/>
  <c r="J1247" i="16"/>
  <c r="H590" i="16"/>
  <c r="J590" i="16"/>
  <c r="E590" i="16"/>
  <c r="U590" i="16" s="1"/>
  <c r="I590" i="16"/>
  <c r="D790" i="16"/>
  <c r="E790" i="16"/>
  <c r="I790" i="16"/>
  <c r="H790" i="16"/>
  <c r="F1183" i="16"/>
  <c r="H1183" i="16"/>
  <c r="J1183" i="16"/>
  <c r="E1183" i="16"/>
  <c r="D1183" i="16"/>
  <c r="I1183" i="16"/>
  <c r="F278" i="16"/>
  <c r="I278" i="16"/>
  <c r="H278" i="16"/>
  <c r="J278" i="16"/>
  <c r="J1047" i="16"/>
  <c r="D1047" i="16"/>
  <c r="F1047" i="16"/>
  <c r="I1047" i="16"/>
  <c r="H1047" i="16"/>
  <c r="E1047" i="16"/>
  <c r="E606" i="16"/>
  <c r="J637" i="16"/>
  <c r="I758" i="16"/>
  <c r="I262" i="16"/>
  <c r="H262" i="16"/>
  <c r="J262" i="16"/>
  <c r="E262" i="16"/>
  <c r="U262" i="16" s="1"/>
  <c r="D1063" i="16"/>
  <c r="F1063" i="16"/>
  <c r="E1063" i="16"/>
  <c r="J1063" i="16"/>
  <c r="H1063" i="16"/>
  <c r="I1063" i="16"/>
  <c r="F830" i="16"/>
  <c r="J830" i="16"/>
  <c r="H830" i="16"/>
  <c r="E830" i="16"/>
  <c r="I830" i="16"/>
  <c r="D830" i="16"/>
  <c r="F702" i="16"/>
  <c r="I702" i="16"/>
  <c r="J702" i="16"/>
  <c r="H702" i="16"/>
  <c r="D702" i="16"/>
  <c r="E702" i="16"/>
  <c r="H862" i="16"/>
  <c r="J862" i="16"/>
  <c r="I1055" i="16"/>
  <c r="F1055" i="16"/>
  <c r="H1055" i="16"/>
  <c r="D1055" i="16"/>
  <c r="J1055" i="16"/>
  <c r="E1055" i="16"/>
  <c r="I446" i="16"/>
  <c r="E446" i="16"/>
  <c r="J446" i="16"/>
  <c r="F446" i="16"/>
  <c r="H446" i="16"/>
  <c r="D446" i="16"/>
  <c r="G830" i="16"/>
  <c r="J518" i="16"/>
  <c r="D518" i="16"/>
  <c r="H518" i="16"/>
  <c r="I518" i="16"/>
  <c r="E518" i="16"/>
  <c r="F518" i="16"/>
  <c r="E638" i="16"/>
  <c r="I638" i="16"/>
  <c r="J638" i="16"/>
  <c r="F638" i="16"/>
  <c r="D638" i="16"/>
  <c r="H638" i="16"/>
  <c r="G1047" i="16"/>
  <c r="E1255" i="16"/>
  <c r="D1255" i="16"/>
  <c r="H1255" i="16"/>
  <c r="I1255" i="16"/>
  <c r="J1255" i="16"/>
  <c r="F1255" i="16"/>
  <c r="F606" i="16"/>
  <c r="D910" i="16"/>
  <c r="G486" i="16"/>
  <c r="F718" i="16"/>
  <c r="E718" i="16"/>
  <c r="D718" i="16"/>
  <c r="J718" i="16"/>
  <c r="I718" i="16"/>
  <c r="H718" i="16"/>
  <c r="I902" i="16"/>
  <c r="D902" i="16"/>
  <c r="H902" i="16"/>
  <c r="F902" i="16"/>
  <c r="J902" i="16"/>
  <c r="E902" i="16"/>
  <c r="F302" i="16"/>
  <c r="E302" i="16"/>
  <c r="I302" i="16"/>
  <c r="H302" i="16"/>
  <c r="J302" i="16"/>
  <c r="D302" i="16"/>
  <c r="D454" i="16"/>
  <c r="E454" i="16"/>
  <c r="F454" i="16"/>
  <c r="J454" i="16"/>
  <c r="I454" i="16"/>
  <c r="H454" i="16"/>
  <c r="G606" i="16"/>
  <c r="G750" i="16"/>
  <c r="F886" i="16"/>
  <c r="H886" i="16"/>
  <c r="I886" i="16"/>
  <c r="J886" i="16"/>
  <c r="E886" i="16"/>
  <c r="D886" i="16"/>
  <c r="H1079" i="16"/>
  <c r="E1079" i="16"/>
  <c r="D1079" i="16"/>
  <c r="I1079" i="16"/>
  <c r="J1079" i="16"/>
  <c r="F1079" i="16"/>
  <c r="H686" i="16"/>
  <c r="F686" i="16"/>
  <c r="J686" i="16"/>
  <c r="E686" i="16"/>
  <c r="I686" i="16"/>
  <c r="D686" i="16"/>
  <c r="G910" i="16"/>
  <c r="F534" i="16"/>
  <c r="I534" i="16"/>
  <c r="E534" i="16"/>
  <c r="H534" i="16"/>
  <c r="D534" i="16"/>
  <c r="J534" i="16"/>
  <c r="E670" i="16"/>
  <c r="D670" i="16"/>
  <c r="F670" i="16"/>
  <c r="I670" i="16"/>
  <c r="J670" i="16"/>
  <c r="H670" i="16"/>
  <c r="J975" i="16"/>
  <c r="I975" i="16"/>
  <c r="F975" i="16"/>
  <c r="D975" i="16"/>
  <c r="E975" i="16"/>
  <c r="H975" i="16"/>
  <c r="I646" i="16"/>
  <c r="F646" i="16"/>
  <c r="J646" i="16"/>
  <c r="D646" i="16"/>
  <c r="U646" i="16" s="1"/>
  <c r="D983" i="16"/>
  <c r="E983" i="16"/>
  <c r="H983" i="16"/>
  <c r="I983" i="16"/>
  <c r="F983" i="16"/>
  <c r="J983" i="16"/>
  <c r="G678" i="16"/>
  <c r="D894" i="16"/>
  <c r="H894" i="16"/>
  <c r="J894" i="16"/>
  <c r="E894" i="16"/>
  <c r="G374" i="16"/>
  <c r="D374" i="16"/>
  <c r="J606" i="16"/>
  <c r="H910" i="16"/>
  <c r="U405" i="16"/>
  <c r="G310" i="16"/>
  <c r="H310" i="16"/>
  <c r="E310" i="16"/>
  <c r="I310" i="16"/>
  <c r="D310" i="16"/>
  <c r="F310" i="16"/>
  <c r="J310" i="16"/>
  <c r="I614" i="16"/>
  <c r="H614" i="16"/>
  <c r="J614" i="16"/>
  <c r="E614" i="16"/>
  <c r="D614" i="16"/>
  <c r="F614" i="16"/>
  <c r="G934" i="16"/>
  <c r="G1127" i="16"/>
  <c r="F366" i="16"/>
  <c r="H366" i="16"/>
  <c r="G734" i="16"/>
  <c r="J1103" i="16"/>
  <c r="F1103" i="16"/>
  <c r="D1103" i="16"/>
  <c r="I1103" i="16"/>
  <c r="H1103" i="16"/>
  <c r="E1103" i="16"/>
  <c r="I1239" i="16"/>
  <c r="H1239" i="16"/>
  <c r="D1239" i="16"/>
  <c r="J1239" i="16"/>
  <c r="E1239" i="16"/>
  <c r="F1239" i="16"/>
  <c r="H382" i="16"/>
  <c r="J382" i="16"/>
  <c r="E382" i="16"/>
  <c r="D382" i="16"/>
  <c r="F382" i="16"/>
  <c r="I382" i="16"/>
  <c r="J1159" i="16"/>
  <c r="I1159" i="16"/>
  <c r="E1159" i="16"/>
  <c r="H1159" i="16"/>
  <c r="F1159" i="16"/>
  <c r="D1159" i="16"/>
  <c r="E294" i="16"/>
  <c r="J294" i="16"/>
  <c r="F294" i="16"/>
  <c r="H294" i="16"/>
  <c r="D294" i="16"/>
  <c r="I294" i="16"/>
  <c r="G494" i="16"/>
  <c r="G694" i="16"/>
  <c r="G878" i="16"/>
  <c r="G1039" i="16"/>
  <c r="I1223" i="16"/>
  <c r="E1223" i="16"/>
  <c r="H1223" i="16"/>
  <c r="D1223" i="16"/>
  <c r="J1223" i="16"/>
  <c r="F1223" i="16"/>
  <c r="D326" i="16"/>
  <c r="J326" i="16"/>
  <c r="I326" i="16"/>
  <c r="F326" i="16"/>
  <c r="E326" i="16"/>
  <c r="H326" i="16"/>
  <c r="I566" i="16"/>
  <c r="F566" i="16"/>
  <c r="E566" i="16"/>
  <c r="U566" i="16" s="1"/>
  <c r="H566" i="16"/>
  <c r="D1167" i="16"/>
  <c r="I1167" i="16"/>
  <c r="E1167" i="16"/>
  <c r="J1167" i="16"/>
  <c r="E958" i="16"/>
  <c r="H958" i="16"/>
  <c r="D958" i="16"/>
  <c r="J958" i="16"/>
  <c r="F958" i="16"/>
  <c r="I958" i="16"/>
  <c r="U965" i="16"/>
  <c r="U429" i="16"/>
  <c r="U366" i="16"/>
  <c r="U669" i="16"/>
  <c r="F900" i="16"/>
  <c r="E900" i="16"/>
  <c r="I900" i="16"/>
  <c r="F1030" i="16"/>
  <c r="I1030" i="16"/>
  <c r="D1030" i="16"/>
  <c r="J1030" i="16"/>
  <c r="H1030" i="16"/>
  <c r="E1030" i="16"/>
  <c r="F381" i="16"/>
  <c r="H381" i="16"/>
  <c r="D381" i="16"/>
  <c r="J381" i="16"/>
  <c r="E381" i="16"/>
  <c r="I381" i="16"/>
  <c r="H525" i="16"/>
  <c r="D525" i="16"/>
  <c r="G525" i="16"/>
  <c r="I629" i="16"/>
  <c r="D629" i="16"/>
  <c r="H629" i="16"/>
  <c r="E629" i="16"/>
  <c r="F629" i="16"/>
  <c r="J629" i="16"/>
  <c r="E693" i="16"/>
  <c r="H693" i="16"/>
  <c r="J693" i="16"/>
  <c r="F693" i="16"/>
  <c r="D693" i="16"/>
  <c r="I693" i="16"/>
  <c r="F717" i="16"/>
  <c r="I717" i="16"/>
  <c r="J717" i="16"/>
  <c r="H717" i="16"/>
  <c r="E717" i="16"/>
  <c r="D717" i="16"/>
  <c r="H821" i="16"/>
  <c r="I821" i="16"/>
  <c r="D821" i="16"/>
  <c r="E821" i="16"/>
  <c r="F821" i="16"/>
  <c r="J821" i="16"/>
  <c r="H1078" i="16"/>
  <c r="D1078" i="16"/>
  <c r="E1078" i="16"/>
  <c r="F1078" i="16"/>
  <c r="I1078" i="16"/>
  <c r="G1078" i="16"/>
  <c r="J1078" i="16"/>
  <c r="E1102" i="16"/>
  <c r="F1102" i="16"/>
  <c r="J1102" i="16"/>
  <c r="I1102" i="16"/>
  <c r="G1102" i="16"/>
  <c r="D1102" i="16"/>
  <c r="H1102" i="16"/>
  <c r="G1142" i="16"/>
  <c r="J1142" i="16"/>
  <c r="H1142" i="16"/>
  <c r="E1142" i="16"/>
  <c r="I1142" i="16"/>
  <c r="D1142" i="16"/>
  <c r="F1142" i="16"/>
  <c r="J1262" i="16"/>
  <c r="H1262" i="16"/>
  <c r="F1262" i="16"/>
  <c r="E1262" i="16"/>
  <c r="I1262" i="16"/>
  <c r="D1262" i="16"/>
  <c r="D900" i="16"/>
  <c r="F525" i="16"/>
  <c r="J1230" i="16"/>
  <c r="I1230" i="16"/>
  <c r="H1230" i="16"/>
  <c r="G1230" i="16"/>
  <c r="F1230" i="16"/>
  <c r="J277" i="16"/>
  <c r="E277" i="16"/>
  <c r="U277" i="16" s="1"/>
  <c r="F277" i="16"/>
  <c r="H477" i="16"/>
  <c r="I477" i="16"/>
  <c r="G477" i="16"/>
  <c r="E477" i="16"/>
  <c r="J477" i="16"/>
  <c r="F477" i="16"/>
  <c r="D477" i="16"/>
  <c r="E773" i="16"/>
  <c r="F773" i="16"/>
  <c r="I773" i="16"/>
  <c r="H773" i="16"/>
  <c r="D773" i="16"/>
  <c r="J773" i="16"/>
  <c r="J893" i="16"/>
  <c r="I893" i="16"/>
  <c r="F893" i="16"/>
  <c r="H893" i="16"/>
  <c r="E893" i="16"/>
  <c r="D893" i="16"/>
  <c r="F1054" i="16"/>
  <c r="I1054" i="16"/>
  <c r="D1054" i="16"/>
  <c r="J1054" i="16"/>
  <c r="E1054" i="16"/>
  <c r="H1054" i="16"/>
  <c r="H1110" i="16"/>
  <c r="D1110" i="16"/>
  <c r="U1110" i="16" s="1"/>
  <c r="G1110" i="16"/>
  <c r="I1110" i="16"/>
  <c r="F1110" i="16"/>
  <c r="J1110" i="16"/>
  <c r="G900" i="16"/>
  <c r="E525" i="16"/>
  <c r="J357" i="16"/>
  <c r="D357" i="16"/>
  <c r="F357" i="16"/>
  <c r="I357" i="16"/>
  <c r="E357" i="16"/>
  <c r="G357" i="16"/>
  <c r="H357" i="16"/>
  <c r="I421" i="16"/>
  <c r="H421" i="16"/>
  <c r="F421" i="16"/>
  <c r="G421" i="16"/>
  <c r="E421" i="16"/>
  <c r="D421" i="16"/>
  <c r="J421" i="16"/>
  <c r="H741" i="16"/>
  <c r="F741" i="16"/>
  <c r="D741" i="16"/>
  <c r="U741" i="16" s="1"/>
  <c r="G741" i="16"/>
  <c r="D845" i="16"/>
  <c r="G845" i="16"/>
  <c r="J845" i="16"/>
  <c r="E845" i="16"/>
  <c r="F845" i="16"/>
  <c r="G949" i="16"/>
  <c r="H949" i="16"/>
  <c r="J949" i="16"/>
  <c r="I949" i="16"/>
  <c r="F949" i="16"/>
  <c r="D949" i="16"/>
  <c r="E949" i="16"/>
  <c r="I1014" i="16"/>
  <c r="J1014" i="16"/>
  <c r="F1014" i="16"/>
  <c r="H1014" i="16"/>
  <c r="E1014" i="16"/>
  <c r="G1014" i="16"/>
  <c r="D1014" i="16"/>
  <c r="E1150" i="16"/>
  <c r="H1150" i="16"/>
  <c r="I1150" i="16"/>
  <c r="D1150" i="16"/>
  <c r="F1150" i="16"/>
  <c r="J1150" i="16"/>
  <c r="D1238" i="16"/>
  <c r="J1238" i="16"/>
  <c r="H1238" i="16"/>
  <c r="F1238" i="16"/>
  <c r="E1238" i="16"/>
  <c r="I1238" i="16"/>
  <c r="D1278" i="16"/>
  <c r="E1278" i="16"/>
  <c r="F1278" i="16"/>
  <c r="H900" i="16"/>
  <c r="J525" i="16"/>
  <c r="E309" i="16"/>
  <c r="H309" i="16"/>
  <c r="J309" i="16"/>
  <c r="I309" i="16"/>
  <c r="G309" i="16"/>
  <c r="D309" i="16"/>
  <c r="F309" i="16"/>
  <c r="F397" i="16"/>
  <c r="E397" i="16"/>
  <c r="U397" i="16" s="1"/>
  <c r="I397" i="16"/>
  <c r="F493" i="16"/>
  <c r="D493" i="16"/>
  <c r="I493" i="16"/>
  <c r="J493" i="16"/>
  <c r="H493" i="16"/>
  <c r="G493" i="16"/>
  <c r="E493" i="16"/>
  <c r="I541" i="16"/>
  <c r="J541" i="16"/>
  <c r="E541" i="16"/>
  <c r="D541" i="16"/>
  <c r="H541" i="16"/>
  <c r="F541" i="16"/>
  <c r="I805" i="16"/>
  <c r="F805" i="16"/>
  <c r="E805" i="16"/>
  <c r="J805" i="16"/>
  <c r="H805" i="16"/>
  <c r="D805" i="16"/>
  <c r="G1030" i="16"/>
  <c r="G1062" i="16"/>
  <c r="J1062" i="16"/>
  <c r="H1062" i="16"/>
  <c r="I1062" i="16"/>
  <c r="F1062" i="16"/>
  <c r="E1062" i="16"/>
  <c r="D1062" i="16"/>
  <c r="E1086" i="16"/>
  <c r="I1086" i="16"/>
  <c r="F1086" i="16"/>
  <c r="J1086" i="16"/>
  <c r="D1086" i="16"/>
  <c r="H1086" i="16"/>
  <c r="J365" i="16"/>
  <c r="I365" i="16"/>
  <c r="D365" i="16"/>
  <c r="H365" i="16"/>
  <c r="G365" i="16"/>
  <c r="F365" i="16"/>
  <c r="E365" i="16"/>
  <c r="G397" i="16"/>
  <c r="F461" i="16"/>
  <c r="J461" i="16"/>
  <c r="D461" i="16"/>
  <c r="H461" i="16"/>
  <c r="I461" i="16"/>
  <c r="E461" i="16"/>
  <c r="G461" i="16"/>
  <c r="I653" i="16"/>
  <c r="G653" i="16"/>
  <c r="F653" i="16"/>
  <c r="D653" i="16"/>
  <c r="U653" i="16" s="1"/>
  <c r="H653" i="16"/>
  <c r="E677" i="16"/>
  <c r="I677" i="16"/>
  <c r="D677" i="16"/>
  <c r="J677" i="16"/>
  <c r="F677" i="16"/>
  <c r="H677" i="16"/>
  <c r="D749" i="16"/>
  <c r="H749" i="16"/>
  <c r="J749" i="16"/>
  <c r="E749" i="16"/>
  <c r="F749" i="16"/>
  <c r="I749" i="16"/>
  <c r="F901" i="16"/>
  <c r="J901" i="16"/>
  <c r="E901" i="16"/>
  <c r="I901" i="16"/>
  <c r="D901" i="16"/>
  <c r="H901" i="16"/>
  <c r="I974" i="16"/>
  <c r="F974" i="16"/>
  <c r="D974" i="16"/>
  <c r="G974" i="16"/>
  <c r="E974" i="16"/>
  <c r="J974" i="16"/>
  <c r="H974" i="16"/>
  <c r="J998" i="16"/>
  <c r="I998" i="16"/>
  <c r="H998" i="16"/>
  <c r="D998" i="16"/>
  <c r="E998" i="16"/>
  <c r="F998" i="16"/>
  <c r="F1126" i="16"/>
  <c r="I1126" i="16"/>
  <c r="J1126" i="16"/>
  <c r="G1126" i="16"/>
  <c r="E1126" i="16"/>
  <c r="U1126" i="16" s="1"/>
  <c r="J1174" i="16"/>
  <c r="H1174" i="16"/>
  <c r="F1174" i="16"/>
  <c r="E1174" i="16"/>
  <c r="D1174" i="16"/>
  <c r="G1174" i="16"/>
  <c r="I1174" i="16"/>
  <c r="F1246" i="16"/>
  <c r="J1246" i="16"/>
  <c r="E1246" i="16"/>
  <c r="H1246" i="16"/>
  <c r="D1246" i="16"/>
  <c r="G1246" i="16"/>
  <c r="I1246" i="16"/>
  <c r="U1221" i="16"/>
  <c r="F1101" i="16"/>
  <c r="H1101" i="16"/>
  <c r="J1101" i="16"/>
  <c r="D1101" i="16"/>
  <c r="E1101" i="16"/>
  <c r="I1101" i="16"/>
  <c r="I501" i="16"/>
  <c r="J501" i="16"/>
  <c r="D501" i="16"/>
  <c r="F501" i="16"/>
  <c r="H501" i="16"/>
  <c r="E501" i="16"/>
  <c r="F573" i="16"/>
  <c r="H573" i="16"/>
  <c r="E573" i="16"/>
  <c r="J573" i="16"/>
  <c r="I573" i="16"/>
  <c r="D573" i="16"/>
  <c r="F813" i="16"/>
  <c r="I813" i="16"/>
  <c r="G813" i="16"/>
  <c r="E813" i="16"/>
  <c r="D813" i="16"/>
  <c r="J813" i="16"/>
  <c r="H813" i="16"/>
  <c r="J853" i="16"/>
  <c r="I853" i="16"/>
  <c r="D853" i="16"/>
  <c r="E853" i="16"/>
  <c r="H853" i="16"/>
  <c r="F853" i="16"/>
  <c r="J1038" i="16"/>
  <c r="I1038" i="16"/>
  <c r="D1038" i="16"/>
  <c r="F1038" i="16"/>
  <c r="G1038" i="16"/>
  <c r="H1038" i="16"/>
  <c r="E1038" i="16"/>
  <c r="F341" i="16"/>
  <c r="H341" i="16"/>
  <c r="E341" i="16"/>
  <c r="I341" i="16"/>
  <c r="J341" i="16"/>
  <c r="D341" i="16"/>
  <c r="H373" i="16"/>
  <c r="I373" i="16"/>
  <c r="E373" i="16"/>
  <c r="G373" i="16"/>
  <c r="F373" i="16"/>
  <c r="J373" i="16"/>
  <c r="D373" i="16"/>
  <c r="H621" i="16"/>
  <c r="J621" i="16"/>
  <c r="F621" i="16"/>
  <c r="I621" i="16"/>
  <c r="E621" i="16"/>
  <c r="D621" i="16"/>
  <c r="G621" i="16"/>
  <c r="J661" i="16"/>
  <c r="G661" i="16"/>
  <c r="E661" i="16"/>
  <c r="I661" i="16"/>
  <c r="F661" i="16"/>
  <c r="D661" i="16"/>
  <c r="H661" i="16"/>
  <c r="D685" i="16"/>
  <c r="E685" i="16"/>
  <c r="J685" i="16"/>
  <c r="F685" i="16"/>
  <c r="F925" i="16"/>
  <c r="J925" i="16"/>
  <c r="E925" i="16"/>
  <c r="H925" i="16"/>
  <c r="I925" i="16"/>
  <c r="D925" i="16"/>
  <c r="G925" i="16"/>
  <c r="H1070" i="16"/>
  <c r="J1070" i="16"/>
  <c r="E1070" i="16"/>
  <c r="I1070" i="16"/>
  <c r="D1070" i="16"/>
  <c r="F1070" i="16"/>
  <c r="H1094" i="16"/>
  <c r="J1094" i="16"/>
  <c r="F1094" i="16"/>
  <c r="E1094" i="16"/>
  <c r="I1094" i="16"/>
  <c r="D1094" i="16"/>
  <c r="H1134" i="16"/>
  <c r="J1134" i="16"/>
  <c r="I1134" i="16"/>
  <c r="D1134" i="16"/>
  <c r="F1134" i="16"/>
  <c r="E1134" i="16"/>
  <c r="I1254" i="16"/>
  <c r="E1254" i="16"/>
  <c r="H1254" i="16"/>
  <c r="F1254" i="16"/>
  <c r="D1254" i="16"/>
  <c r="J1254" i="16"/>
  <c r="E941" i="16"/>
  <c r="J941" i="16"/>
  <c r="H941" i="16"/>
  <c r="I941" i="16"/>
  <c r="D941" i="16"/>
  <c r="F941" i="16"/>
  <c r="G941" i="16"/>
  <c r="U779" i="16"/>
  <c r="E349" i="16"/>
  <c r="H349" i="16"/>
  <c r="D349" i="16"/>
  <c r="F349" i="16"/>
  <c r="J349" i="16"/>
  <c r="I349" i="16"/>
  <c r="G381" i="16"/>
  <c r="I509" i="16"/>
  <c r="E509" i="16"/>
  <c r="D509" i="16"/>
  <c r="F509" i="16"/>
  <c r="H509" i="16"/>
  <c r="J509" i="16"/>
  <c r="G509" i="16"/>
  <c r="G629" i="16"/>
  <c r="G693" i="16"/>
  <c r="G717" i="16"/>
  <c r="G821" i="16"/>
  <c r="I861" i="16"/>
  <c r="F861" i="16"/>
  <c r="E861" i="16"/>
  <c r="G861" i="16"/>
  <c r="H861" i="16"/>
  <c r="J861" i="16"/>
  <c r="D861" i="16"/>
  <c r="D1046" i="16"/>
  <c r="J1046" i="16"/>
  <c r="E1046" i="16"/>
  <c r="H1046" i="16"/>
  <c r="I1046" i="16"/>
  <c r="F1046" i="16"/>
  <c r="J1206" i="16"/>
  <c r="I1206" i="16"/>
  <c r="F1206" i="16"/>
  <c r="E1206" i="16"/>
  <c r="H1206" i="16"/>
  <c r="D1206" i="16"/>
  <c r="G1262" i="16"/>
  <c r="U470" i="16"/>
  <c r="U1149" i="16"/>
  <c r="U826" i="16"/>
  <c r="U1131" i="16"/>
  <c r="U1230" i="16"/>
  <c r="U781" i="16"/>
  <c r="U511" i="16"/>
  <c r="U832" i="16"/>
  <c r="U667" i="16"/>
  <c r="U1281" i="16"/>
  <c r="U884" i="16"/>
  <c r="U551" i="16"/>
  <c r="U623" i="16"/>
  <c r="U356" i="16"/>
  <c r="U630" i="16"/>
  <c r="U913" i="16"/>
  <c r="U1017" i="16"/>
  <c r="U597" i="16"/>
  <c r="U272" i="16"/>
  <c r="U920" i="16"/>
  <c r="U1198" i="16"/>
  <c r="U1169" i="16"/>
  <c r="U558" i="16"/>
  <c r="U953" i="16"/>
  <c r="U1138" i="16"/>
  <c r="C40" i="10"/>
  <c r="U795" i="16"/>
  <c r="U940" i="16"/>
  <c r="U1154" i="16"/>
  <c r="U899" i="16"/>
  <c r="B64" i="4"/>
  <c r="A47" i="10" s="1"/>
  <c r="B46" i="4"/>
  <c r="A32" i="10" s="1"/>
  <c r="A27" i="10"/>
  <c r="B58" i="4"/>
  <c r="A42" i="10" s="1"/>
  <c r="U1119" i="16"/>
  <c r="B33" i="4"/>
  <c r="A21" i="10" s="1"/>
  <c r="B34" i="4"/>
  <c r="A22" i="10" s="1"/>
  <c r="U521" i="16"/>
  <c r="U740" i="16"/>
  <c r="U627" i="16"/>
  <c r="B44" i="4"/>
  <c r="A30" i="10" s="1"/>
  <c r="B56" i="4"/>
  <c r="A40" i="10" s="1"/>
  <c r="B50" i="4"/>
  <c r="A35" i="10" s="1"/>
  <c r="B35" i="4"/>
  <c r="A23" i="10" s="1"/>
  <c r="U869" i="16"/>
  <c r="A25" i="10"/>
  <c r="U892" i="16"/>
  <c r="U530" i="16"/>
  <c r="U1233" i="16"/>
  <c r="U317" i="16"/>
  <c r="U1186" i="16"/>
  <c r="U672" i="16"/>
  <c r="U311" i="16"/>
  <c r="U447" i="16"/>
  <c r="U690" i="16"/>
  <c r="F41" i="10"/>
  <c r="H41" i="10" s="1"/>
  <c r="F36" i="10"/>
  <c r="H36" i="10" s="1"/>
  <c r="F46" i="10"/>
  <c r="H46" i="10" s="1"/>
  <c r="F31" i="10"/>
  <c r="H31" i="10" s="1"/>
  <c r="H26" i="10"/>
  <c r="D1241" i="16"/>
  <c r="U1241" i="16" s="1"/>
  <c r="H354" i="16"/>
  <c r="F354" i="16"/>
  <c r="D354" i="16"/>
  <c r="G354" i="16"/>
  <c r="I354" i="16"/>
  <c r="E354" i="16"/>
  <c r="J354" i="16"/>
  <c r="C22" i="10"/>
  <c r="J1241" i="16"/>
  <c r="F50" i="10"/>
  <c r="H28" i="10"/>
  <c r="F33" i="10"/>
  <c r="H33" i="10" s="1"/>
  <c r="F48" i="10"/>
  <c r="H48" i="10" s="1"/>
  <c r="F38" i="10"/>
  <c r="H38" i="10" s="1"/>
  <c r="F43" i="10"/>
  <c r="H43" i="10" s="1"/>
  <c r="H950" i="16"/>
  <c r="I950" i="16"/>
  <c r="F950" i="16"/>
  <c r="G950" i="16"/>
  <c r="D950" i="16"/>
  <c r="J950" i="16"/>
  <c r="E950" i="16"/>
  <c r="D40" i="10"/>
  <c r="U1234" i="16"/>
  <c r="H1241" i="16"/>
  <c r="D1091" i="16"/>
  <c r="J1091" i="16"/>
  <c r="I1091" i="16"/>
  <c r="F1091" i="16"/>
  <c r="H1091" i="16"/>
  <c r="G1091" i="16"/>
  <c r="E1091" i="16"/>
  <c r="J1165" i="16"/>
  <c r="I1165" i="16"/>
  <c r="F1165" i="16"/>
  <c r="H1165" i="16"/>
  <c r="D1165" i="16"/>
  <c r="E1165" i="16"/>
  <c r="F37" i="10"/>
  <c r="H37" i="10" s="1"/>
  <c r="F42" i="10"/>
  <c r="H42" i="10" s="1"/>
  <c r="F47" i="10"/>
  <c r="H47" i="10" s="1"/>
  <c r="F32" i="10"/>
  <c r="H32" i="10" s="1"/>
  <c r="H27" i="10"/>
  <c r="C45" i="10"/>
  <c r="F1187" i="16"/>
  <c r="I1187" i="16"/>
  <c r="J1187" i="16"/>
  <c r="G1187" i="16"/>
  <c r="E1187" i="16"/>
  <c r="H1187" i="16"/>
  <c r="D1187" i="16"/>
  <c r="D822" i="16"/>
  <c r="I822" i="16"/>
  <c r="J822" i="16"/>
  <c r="E822" i="16"/>
  <c r="F822" i="16"/>
  <c r="H822" i="16"/>
  <c r="G822" i="16"/>
  <c r="U656" i="16"/>
  <c r="U579" i="16"/>
  <c r="U498" i="16"/>
  <c r="U859" i="16"/>
  <c r="E168" i="16"/>
  <c r="F433" i="16"/>
  <c r="D433" i="16"/>
  <c r="E433" i="16"/>
  <c r="G433" i="16"/>
  <c r="I433" i="16"/>
  <c r="J433" i="16"/>
  <c r="H433" i="16"/>
  <c r="J560" i="16"/>
  <c r="H560" i="16"/>
  <c r="E560" i="16"/>
  <c r="I560" i="16"/>
  <c r="F560" i="16"/>
  <c r="G560" i="16"/>
  <c r="D560" i="16"/>
  <c r="J531" i="16"/>
  <c r="D531" i="16"/>
  <c r="I531" i="16"/>
  <c r="E531" i="16"/>
  <c r="F531" i="16"/>
  <c r="H531" i="16"/>
  <c r="I1144" i="16"/>
  <c r="F1144" i="16"/>
  <c r="D1144" i="16"/>
  <c r="J1144" i="16"/>
  <c r="H1144" i="16"/>
  <c r="G1144" i="16"/>
  <c r="E1144" i="16"/>
  <c r="J835" i="16"/>
  <c r="G835" i="16"/>
  <c r="F835" i="16"/>
  <c r="I835" i="16"/>
  <c r="E835" i="16"/>
  <c r="D835" i="16"/>
  <c r="H835" i="16"/>
  <c r="H788" i="16"/>
  <c r="G788" i="16"/>
  <c r="J788" i="16"/>
  <c r="F788" i="16"/>
  <c r="E788" i="16"/>
  <c r="D788" i="16"/>
  <c r="I788" i="16"/>
  <c r="F1010" i="16"/>
  <c r="H1010" i="16"/>
  <c r="J1010" i="16"/>
  <c r="I1010" i="16"/>
  <c r="E1010" i="16"/>
  <c r="D1010" i="16"/>
  <c r="I980" i="16"/>
  <c r="J980" i="16"/>
  <c r="D980" i="16"/>
  <c r="H980" i="16"/>
  <c r="E980" i="16"/>
  <c r="F980" i="16"/>
  <c r="G980" i="16"/>
  <c r="D1181" i="16"/>
  <c r="I1181" i="16"/>
  <c r="H1181" i="16"/>
  <c r="F1181" i="16"/>
  <c r="E1181" i="16"/>
  <c r="J1181" i="16"/>
  <c r="H442" i="16"/>
  <c r="E442" i="16"/>
  <c r="I442" i="16"/>
  <c r="F442" i="16"/>
  <c r="J442" i="16"/>
  <c r="D442" i="16"/>
  <c r="G442" i="16"/>
  <c r="D978" i="16"/>
  <c r="F978" i="16"/>
  <c r="J978" i="16"/>
  <c r="H978" i="16"/>
  <c r="E978" i="16"/>
  <c r="I978" i="16"/>
  <c r="G978" i="16"/>
  <c r="G547" i="16"/>
  <c r="J547" i="16"/>
  <c r="I547" i="16"/>
  <c r="E547" i="16"/>
  <c r="D547" i="16"/>
  <c r="H547" i="16"/>
  <c r="F547" i="16"/>
  <c r="D502" i="16"/>
  <c r="I502" i="16"/>
  <c r="F502" i="16"/>
  <c r="J502" i="16"/>
  <c r="G502" i="16"/>
  <c r="E502" i="16"/>
  <c r="H502" i="16"/>
  <c r="G324" i="16"/>
  <c r="D324" i="16"/>
  <c r="F324" i="16"/>
  <c r="I324" i="16"/>
  <c r="E324" i="16"/>
  <c r="H324" i="16"/>
  <c r="J324" i="16"/>
  <c r="I554" i="16"/>
  <c r="H554" i="16"/>
  <c r="D554" i="16"/>
  <c r="G554" i="16"/>
  <c r="E554" i="16"/>
  <c r="J554" i="16"/>
  <c r="F554" i="16"/>
  <c r="J1197" i="16"/>
  <c r="F1197" i="16"/>
  <c r="E1197" i="16"/>
  <c r="H1197" i="16"/>
  <c r="G1197" i="16"/>
  <c r="D1197" i="16"/>
  <c r="I1197" i="16"/>
  <c r="D1108" i="16"/>
  <c r="H1108" i="16"/>
  <c r="E1108" i="16"/>
  <c r="J1108" i="16"/>
  <c r="I1108" i="16"/>
  <c r="G1108" i="16"/>
  <c r="F1108" i="16"/>
  <c r="I994" i="16"/>
  <c r="H994" i="16"/>
  <c r="J994" i="16"/>
  <c r="D994" i="16"/>
  <c r="F994" i="16"/>
  <c r="E994" i="16"/>
  <c r="U583" i="16"/>
  <c r="U862" i="16"/>
  <c r="U278" i="16"/>
  <c r="U1279" i="16"/>
  <c r="U827" i="16"/>
  <c r="U307" i="16"/>
  <c r="I645" i="16"/>
  <c r="F645" i="16"/>
  <c r="H645" i="16"/>
  <c r="E645" i="16"/>
  <c r="J645" i="16"/>
  <c r="G645" i="16"/>
  <c r="D645" i="16"/>
  <c r="I422" i="16"/>
  <c r="G422" i="16"/>
  <c r="J422" i="16"/>
  <c r="D422" i="16"/>
  <c r="E422" i="16"/>
  <c r="H422" i="16"/>
  <c r="F422" i="16"/>
  <c r="J675" i="16"/>
  <c r="H675" i="16"/>
  <c r="E675" i="16"/>
  <c r="F675" i="16"/>
  <c r="D675" i="16"/>
  <c r="I675" i="16"/>
  <c r="G675" i="16"/>
  <c r="I270" i="16"/>
  <c r="D270" i="16"/>
  <c r="J270" i="16"/>
  <c r="E270" i="16"/>
  <c r="H270" i="16"/>
  <c r="F270" i="16"/>
  <c r="G270" i="16"/>
  <c r="I414" i="16"/>
  <c r="G414" i="16"/>
  <c r="H414" i="16"/>
  <c r="D414" i="16"/>
  <c r="F414" i="16"/>
  <c r="J414" i="16"/>
  <c r="E414" i="16"/>
  <c r="J824" i="16"/>
  <c r="G824" i="16"/>
  <c r="H824" i="16"/>
  <c r="F824" i="16"/>
  <c r="E824" i="16"/>
  <c r="D824" i="16"/>
  <c r="I824" i="16"/>
  <c r="U687" i="16"/>
  <c r="F476" i="16"/>
  <c r="G476" i="16"/>
  <c r="J476" i="16"/>
  <c r="I476" i="16"/>
  <c r="D476" i="16"/>
  <c r="E476" i="16"/>
  <c r="H476" i="16"/>
  <c r="B77" i="4"/>
  <c r="A55" i="10" s="1"/>
  <c r="B81" i="4"/>
  <c r="A57" i="10" s="1"/>
  <c r="B69" i="4"/>
  <c r="A50" i="10" s="1"/>
  <c r="B83" i="4"/>
  <c r="A58" i="10" s="1"/>
  <c r="B75" i="4"/>
  <c r="A54" i="10" s="1"/>
  <c r="B87" i="4"/>
  <c r="A60" i="10" s="1"/>
  <c r="B61" i="4"/>
  <c r="A44" i="10" s="1"/>
  <c r="B43" i="4"/>
  <c r="A29" i="10" s="1"/>
  <c r="B73" i="4"/>
  <c r="A53" i="10" s="1"/>
  <c r="B85" i="4"/>
  <c r="A59" i="10" s="1"/>
  <c r="B71" i="4"/>
  <c r="A51" i="10" s="1"/>
  <c r="B55" i="4"/>
  <c r="A39" i="10" s="1"/>
  <c r="B49" i="4"/>
  <c r="A34" i="10" s="1"/>
  <c r="B79" i="4"/>
  <c r="A56" i="10" s="1"/>
  <c r="U942" i="16"/>
  <c r="U1113" i="16"/>
  <c r="U924" i="16"/>
  <c r="D1226" i="16"/>
  <c r="H1226" i="16"/>
  <c r="I1226" i="16"/>
  <c r="G1226" i="16"/>
  <c r="F1226" i="16"/>
  <c r="J1226" i="16"/>
  <c r="E1226" i="16"/>
  <c r="U972" i="16"/>
  <c r="I337" i="16"/>
  <c r="H337" i="16"/>
  <c r="D337" i="16"/>
  <c r="J337" i="16"/>
  <c r="E337" i="16"/>
  <c r="F337" i="16"/>
  <c r="Y207" i="16" l="1"/>
  <c r="Y223" i="16"/>
  <c r="Y159" i="16"/>
  <c r="Y96" i="16"/>
  <c r="Y32" i="16"/>
  <c r="Y239" i="16"/>
  <c r="Y175" i="16"/>
  <c r="Y112" i="16"/>
  <c r="Y48" i="16"/>
  <c r="Y255" i="16"/>
  <c r="Y191" i="16"/>
  <c r="Y128" i="16"/>
  <c r="Y64" i="16"/>
  <c r="S214" i="16"/>
  <c r="G214" i="16" s="1"/>
  <c r="Y199" i="16"/>
  <c r="Y135" i="16"/>
  <c r="Y72" i="16"/>
  <c r="Y8" i="16"/>
  <c r="Y231" i="16"/>
  <c r="Y167" i="16"/>
  <c r="Y104" i="16"/>
  <c r="Y40" i="16"/>
  <c r="S76" i="16"/>
  <c r="G76" i="16" s="1"/>
  <c r="Y247" i="16"/>
  <c r="Y183" i="16"/>
  <c r="Y120" i="16"/>
  <c r="Y56" i="16"/>
  <c r="S163" i="16"/>
  <c r="E163" i="16" s="1"/>
  <c r="Y215" i="16"/>
  <c r="Y151" i="16"/>
  <c r="Y88" i="16"/>
  <c r="Y24" i="16"/>
  <c r="S195" i="16"/>
  <c r="H195" i="16" s="1"/>
  <c r="S150" i="16"/>
  <c r="J150" i="16" s="1"/>
  <c r="G7" i="16"/>
  <c r="I71" i="16"/>
  <c r="D168" i="16"/>
  <c r="U168" i="16" s="1"/>
  <c r="H168" i="16"/>
  <c r="J168" i="16"/>
  <c r="F168" i="16"/>
  <c r="E71" i="16"/>
  <c r="I168" i="16"/>
  <c r="E190" i="16"/>
  <c r="S230" i="16"/>
  <c r="G230" i="16" s="1"/>
  <c r="I142" i="16"/>
  <c r="D130" i="16"/>
  <c r="J39" i="16"/>
  <c r="J130" i="16"/>
  <c r="F130" i="16"/>
  <c r="Y189" i="16"/>
  <c r="E130" i="16"/>
  <c r="H63" i="16"/>
  <c r="E63" i="16"/>
  <c r="H130" i="16"/>
  <c r="I130" i="16"/>
  <c r="D63" i="16"/>
  <c r="H206" i="16"/>
  <c r="S15" i="16"/>
  <c r="D15" i="16" s="1"/>
  <c r="Y141" i="16"/>
  <c r="I79" i="16"/>
  <c r="H79" i="16"/>
  <c r="Y78" i="16"/>
  <c r="F63" i="16"/>
  <c r="H39" i="16"/>
  <c r="E7" i="16"/>
  <c r="F71" i="16"/>
  <c r="H71" i="16"/>
  <c r="Y133" i="16"/>
  <c r="Y165" i="16"/>
  <c r="I160" i="16"/>
  <c r="F206" i="16"/>
  <c r="E142" i="16"/>
  <c r="J79" i="16"/>
  <c r="D142" i="16"/>
  <c r="F79" i="16"/>
  <c r="Y205" i="16"/>
  <c r="D79" i="16"/>
  <c r="F142" i="16"/>
  <c r="J206" i="16"/>
  <c r="J142" i="16"/>
  <c r="E79" i="16"/>
  <c r="I206" i="16"/>
  <c r="H238" i="16"/>
  <c r="J238" i="16"/>
  <c r="D238" i="16"/>
  <c r="Y237" i="16"/>
  <c r="Y173" i="16"/>
  <c r="Y46" i="16"/>
  <c r="E160" i="16"/>
  <c r="D95" i="16"/>
  <c r="H160" i="16"/>
  <c r="G160" i="16"/>
  <c r="D160" i="16"/>
  <c r="H87" i="16"/>
  <c r="J160" i="16"/>
  <c r="F87" i="16"/>
  <c r="S228" i="16"/>
  <c r="E228" i="16" s="1"/>
  <c r="I39" i="16"/>
  <c r="G39" i="16"/>
  <c r="E39" i="16"/>
  <c r="D39" i="16"/>
  <c r="H246" i="16"/>
  <c r="Y229" i="16"/>
  <c r="G103" i="16"/>
  <c r="I87" i="16"/>
  <c r="Y22" i="16"/>
  <c r="H158" i="16"/>
  <c r="D87" i="16"/>
  <c r="U87" i="16" s="1"/>
  <c r="J87" i="16"/>
  <c r="G87" i="16"/>
  <c r="Y213" i="16"/>
  <c r="S28" i="16"/>
  <c r="D206" i="16"/>
  <c r="F134" i="16"/>
  <c r="Y149" i="16"/>
  <c r="F7" i="16"/>
  <c r="H142" i="16"/>
  <c r="E206" i="16"/>
  <c r="J134" i="16"/>
  <c r="Y86" i="16"/>
  <c r="Y102" i="16"/>
  <c r="D190" i="16"/>
  <c r="I158" i="16"/>
  <c r="D134" i="16"/>
  <c r="D71" i="16"/>
  <c r="H7" i="16"/>
  <c r="F158" i="16"/>
  <c r="I134" i="16"/>
  <c r="E134" i="16"/>
  <c r="Y221" i="16"/>
  <c r="Y197" i="16"/>
  <c r="H95" i="16"/>
  <c r="Y157" i="16"/>
  <c r="F95" i="16"/>
  <c r="J71" i="16"/>
  <c r="I7" i="16"/>
  <c r="U910" i="16"/>
  <c r="E95" i="16"/>
  <c r="J7" i="16"/>
  <c r="H222" i="16"/>
  <c r="G134" i="16"/>
  <c r="Y70" i="16"/>
  <c r="J95" i="16"/>
  <c r="G158" i="16"/>
  <c r="J158" i="16"/>
  <c r="F222" i="16"/>
  <c r="Y30" i="16"/>
  <c r="Y6" i="16"/>
  <c r="J63" i="16"/>
  <c r="G190" i="16"/>
  <c r="E158" i="16"/>
  <c r="U158" i="16" s="1"/>
  <c r="J190" i="16"/>
  <c r="D222" i="16"/>
  <c r="I222" i="16"/>
  <c r="H190" i="16"/>
  <c r="I95" i="16"/>
  <c r="I63" i="16"/>
  <c r="I190" i="16"/>
  <c r="E222" i="16"/>
  <c r="Y94" i="16"/>
  <c r="Y126" i="16"/>
  <c r="J222" i="16"/>
  <c r="Y62" i="16"/>
  <c r="U1046" i="16"/>
  <c r="U606" i="16"/>
  <c r="Y244" i="16"/>
  <c r="Y180" i="16"/>
  <c r="Y117" i="16"/>
  <c r="Y53" i="16"/>
  <c r="Y248" i="16"/>
  <c r="U1262" i="16"/>
  <c r="Y182" i="16"/>
  <c r="Y55" i="16"/>
  <c r="S118" i="16"/>
  <c r="G118" i="16" s="1"/>
  <c r="Y251" i="16"/>
  <c r="Y124" i="16"/>
  <c r="S59" i="16"/>
  <c r="Y185" i="16"/>
  <c r="Y122" i="16"/>
  <c r="S57" i="16"/>
  <c r="G57" i="16" s="1"/>
  <c r="Y57" i="16"/>
  <c r="S247" i="16"/>
  <c r="S183" i="16"/>
  <c r="G183" i="16" s="1"/>
  <c r="S120" i="16"/>
  <c r="G120" i="16" s="1"/>
  <c r="S56" i="16"/>
  <c r="I246" i="16"/>
  <c r="S69" i="16"/>
  <c r="G69" i="16" s="1"/>
  <c r="Y118" i="16"/>
  <c r="G238" i="16"/>
  <c r="E238" i="16"/>
  <c r="F238" i="16"/>
  <c r="S174" i="16"/>
  <c r="G174" i="16" s="1"/>
  <c r="S111" i="16"/>
  <c r="G111" i="16" s="1"/>
  <c r="S47" i="16"/>
  <c r="G47" i="16" s="1"/>
  <c r="Y238" i="16"/>
  <c r="Y174" i="16"/>
  <c r="Y111" i="16"/>
  <c r="Y47" i="16"/>
  <c r="S237" i="16"/>
  <c r="S173" i="16"/>
  <c r="G173" i="16" s="1"/>
  <c r="S110" i="16"/>
  <c r="S46" i="16"/>
  <c r="G46" i="16" s="1"/>
  <c r="Y236" i="16"/>
  <c r="Y172" i="16"/>
  <c r="Y109" i="16"/>
  <c r="Y45" i="16"/>
  <c r="S243" i="16"/>
  <c r="G243" i="16" s="1"/>
  <c r="S179" i="16"/>
  <c r="G179" i="16" s="1"/>
  <c r="S116" i="16"/>
  <c r="G116" i="16" s="1"/>
  <c r="S52" i="16"/>
  <c r="G52" i="16" s="1"/>
  <c r="Y243" i="16"/>
  <c r="Y179" i="16"/>
  <c r="Y116" i="16"/>
  <c r="Y52" i="16"/>
  <c r="S242" i="16"/>
  <c r="S178" i="16"/>
  <c r="G178" i="16" s="1"/>
  <c r="S115" i="16"/>
  <c r="G115" i="16" s="1"/>
  <c r="S51" i="16"/>
  <c r="G51" i="16" s="1"/>
  <c r="Y242" i="16"/>
  <c r="Y178" i="16"/>
  <c r="Y115" i="16"/>
  <c r="Y51" i="16"/>
  <c r="S241" i="16"/>
  <c r="S177" i="16"/>
  <c r="G177" i="16" s="1"/>
  <c r="S114" i="16"/>
  <c r="G114" i="16" s="1"/>
  <c r="S50" i="16"/>
  <c r="Y241" i="16"/>
  <c r="Y177" i="16"/>
  <c r="Y114" i="16"/>
  <c r="Y50" i="16"/>
  <c r="S240" i="16"/>
  <c r="S176" i="16"/>
  <c r="G176" i="16" s="1"/>
  <c r="S113" i="16"/>
  <c r="G113" i="16" s="1"/>
  <c r="S49" i="16"/>
  <c r="G49" i="16" s="1"/>
  <c r="Y240" i="16"/>
  <c r="Y176" i="16"/>
  <c r="Y113" i="16"/>
  <c r="Y49" i="16"/>
  <c r="S239" i="16"/>
  <c r="G239" i="16" s="1"/>
  <c r="S175" i="16"/>
  <c r="S112" i="16"/>
  <c r="G112" i="16" s="1"/>
  <c r="S48" i="16"/>
  <c r="G48" i="16" s="1"/>
  <c r="Y119" i="16"/>
  <c r="S181" i="16"/>
  <c r="G181" i="16" s="1"/>
  <c r="Y187" i="16"/>
  <c r="Y60" i="16"/>
  <c r="S185" i="16"/>
  <c r="G185" i="16" s="1"/>
  <c r="U374" i="16"/>
  <c r="F182" i="16"/>
  <c r="Y54" i="16"/>
  <c r="S166" i="16"/>
  <c r="G166" i="16" s="1"/>
  <c r="J103" i="16"/>
  <c r="H103" i="16"/>
  <c r="I103" i="16"/>
  <c r="F103" i="16"/>
  <c r="D103" i="16"/>
  <c r="U103" i="16" s="1"/>
  <c r="Y230" i="16"/>
  <c r="Y166" i="16"/>
  <c r="Y103" i="16"/>
  <c r="Y39" i="16"/>
  <c r="S229" i="16"/>
  <c r="S165" i="16"/>
  <c r="S102" i="16"/>
  <c r="G102" i="16" s="1"/>
  <c r="S38" i="16"/>
  <c r="Y228" i="16"/>
  <c r="Y164" i="16"/>
  <c r="Y101" i="16"/>
  <c r="Y37" i="16"/>
  <c r="S235" i="16"/>
  <c r="G235" i="16" s="1"/>
  <c r="S171" i="16"/>
  <c r="G171" i="16" s="1"/>
  <c r="S108" i="16"/>
  <c r="G108" i="16" s="1"/>
  <c r="S44" i="16"/>
  <c r="G44" i="16" s="1"/>
  <c r="Y235" i="16"/>
  <c r="Y171" i="16"/>
  <c r="Y108" i="16"/>
  <c r="Y44" i="16"/>
  <c r="S234" i="16"/>
  <c r="G234" i="16" s="1"/>
  <c r="S170" i="16"/>
  <c r="G170" i="16" s="1"/>
  <c r="S107" i="16"/>
  <c r="S43" i="16"/>
  <c r="G43" i="16" s="1"/>
  <c r="Y234" i="16"/>
  <c r="Y170" i="16"/>
  <c r="Y107" i="16"/>
  <c r="Y43" i="16"/>
  <c r="S233" i="16"/>
  <c r="G233" i="16" s="1"/>
  <c r="S169" i="16"/>
  <c r="G169" i="16" s="1"/>
  <c r="S106" i="16"/>
  <c r="S42" i="16"/>
  <c r="G42" i="16" s="1"/>
  <c r="Y233" i="16"/>
  <c r="Y169" i="16"/>
  <c r="Y106" i="16"/>
  <c r="Y42" i="16"/>
  <c r="S232" i="16"/>
  <c r="G232" i="16" s="1"/>
  <c r="G105" i="16"/>
  <c r="I105" i="16"/>
  <c r="E105" i="16"/>
  <c r="F105" i="16"/>
  <c r="J105" i="16"/>
  <c r="D105" i="16"/>
  <c r="H105" i="16"/>
  <c r="S41" i="16"/>
  <c r="G41" i="16" s="1"/>
  <c r="Y232" i="16"/>
  <c r="Y168" i="16"/>
  <c r="Y105" i="16"/>
  <c r="Y41" i="16"/>
  <c r="S231" i="16"/>
  <c r="G231" i="16" s="1"/>
  <c r="S167" i="16"/>
  <c r="S104" i="16"/>
  <c r="G104" i="16" s="1"/>
  <c r="S40" i="16"/>
  <c r="G40" i="16" s="1"/>
  <c r="S132" i="16"/>
  <c r="G132" i="16" s="1"/>
  <c r="Y246" i="16"/>
  <c r="S251" i="16"/>
  <c r="G251" i="16" s="1"/>
  <c r="S124" i="16"/>
  <c r="G124" i="16" s="1"/>
  <c r="Y186" i="16"/>
  <c r="S249" i="16"/>
  <c r="Y249" i="16"/>
  <c r="Y121" i="16"/>
  <c r="S212" i="16"/>
  <c r="G212" i="16" s="1"/>
  <c r="S204" i="16"/>
  <c r="S252" i="16"/>
  <c r="G252" i="16" s="1"/>
  <c r="S244" i="16"/>
  <c r="G244" i="16" s="1"/>
  <c r="S236" i="16"/>
  <c r="S220" i="16"/>
  <c r="S31" i="16"/>
  <c r="G31" i="16" s="1"/>
  <c r="Y222" i="16"/>
  <c r="Y158" i="16"/>
  <c r="Y95" i="16"/>
  <c r="Y31" i="16"/>
  <c r="S221" i="16"/>
  <c r="G221" i="16" s="1"/>
  <c r="S157" i="16"/>
  <c r="S94" i="16"/>
  <c r="G94" i="16" s="1"/>
  <c r="S30" i="16"/>
  <c r="G30" i="16" s="1"/>
  <c r="Y220" i="16"/>
  <c r="Y156" i="16"/>
  <c r="Y93" i="16"/>
  <c r="Y29" i="16"/>
  <c r="S227" i="16"/>
  <c r="I163" i="16"/>
  <c r="H163" i="16"/>
  <c r="S100" i="16"/>
  <c r="G100" i="16" s="1"/>
  <c r="S36" i="16"/>
  <c r="G36" i="16" s="1"/>
  <c r="Y227" i="16"/>
  <c r="Y163" i="16"/>
  <c r="Y100" i="16"/>
  <c r="Y36" i="16"/>
  <c r="S226" i="16"/>
  <c r="S162" i="16"/>
  <c r="G162" i="16" s="1"/>
  <c r="S99" i="16"/>
  <c r="G99" i="16" s="1"/>
  <c r="S35" i="16"/>
  <c r="G35" i="16" s="1"/>
  <c r="Y226" i="16"/>
  <c r="Y162" i="16"/>
  <c r="Y99" i="16"/>
  <c r="Y35" i="16"/>
  <c r="S225" i="16"/>
  <c r="G225" i="16" s="1"/>
  <c r="S161" i="16"/>
  <c r="G161" i="16" s="1"/>
  <c r="S98" i="16"/>
  <c r="G98" i="16" s="1"/>
  <c r="S34" i="16"/>
  <c r="G34" i="16" s="1"/>
  <c r="Y225" i="16"/>
  <c r="Y161" i="16"/>
  <c r="Y98" i="16"/>
  <c r="Y34" i="16"/>
  <c r="S224" i="16"/>
  <c r="G224" i="16" s="1"/>
  <c r="S97" i="16"/>
  <c r="G97" i="16" s="1"/>
  <c r="S33" i="16"/>
  <c r="G33" i="16" s="1"/>
  <c r="Y224" i="16"/>
  <c r="Y160" i="16"/>
  <c r="Y97" i="16"/>
  <c r="Y33" i="16"/>
  <c r="S223" i="16"/>
  <c r="S159" i="16"/>
  <c r="G159" i="16" s="1"/>
  <c r="S96" i="16"/>
  <c r="G96" i="16" s="1"/>
  <c r="S32" i="16"/>
  <c r="G32" i="16" s="1"/>
  <c r="S55" i="16"/>
  <c r="G55" i="16" s="1"/>
  <c r="S186" i="16"/>
  <c r="G186" i="16" s="1"/>
  <c r="S58" i="16"/>
  <c r="S121" i="16"/>
  <c r="G121" i="16" s="1"/>
  <c r="I182" i="16"/>
  <c r="J182" i="16"/>
  <c r="D246" i="16"/>
  <c r="S148" i="16"/>
  <c r="G148" i="16" s="1"/>
  <c r="S140" i="16"/>
  <c r="G140" i="16" s="1"/>
  <c r="S188" i="16"/>
  <c r="G188" i="16" s="1"/>
  <c r="S180" i="16"/>
  <c r="G180" i="16" s="1"/>
  <c r="S172" i="16"/>
  <c r="G172" i="16" s="1"/>
  <c r="S164" i="16"/>
  <c r="G164" i="16" s="1"/>
  <c r="S156" i="16"/>
  <c r="G156" i="16" s="1"/>
  <c r="S23" i="16"/>
  <c r="G23" i="16" s="1"/>
  <c r="Y214" i="16"/>
  <c r="Y150" i="16"/>
  <c r="Y87" i="16"/>
  <c r="Y23" i="16"/>
  <c r="S213" i="16"/>
  <c r="S149" i="16"/>
  <c r="G149" i="16" s="1"/>
  <c r="S86" i="16"/>
  <c r="G86" i="16" s="1"/>
  <c r="S22" i="16"/>
  <c r="G22" i="16" s="1"/>
  <c r="Y212" i="16"/>
  <c r="Y148" i="16"/>
  <c r="Y85" i="16"/>
  <c r="Y21" i="16"/>
  <c r="S219" i="16"/>
  <c r="S155" i="16"/>
  <c r="G155" i="16" s="1"/>
  <c r="S92" i="16"/>
  <c r="Y219" i="16"/>
  <c r="Y155" i="16"/>
  <c r="Y92" i="16"/>
  <c r="Y28" i="16"/>
  <c r="S218" i="16"/>
  <c r="G218" i="16" s="1"/>
  <c r="S154" i="16"/>
  <c r="S91" i="16"/>
  <c r="G91" i="16" s="1"/>
  <c r="S27" i="16"/>
  <c r="G27" i="16" s="1"/>
  <c r="Y218" i="16"/>
  <c r="Y154" i="16"/>
  <c r="Y91" i="16"/>
  <c r="Y27" i="16"/>
  <c r="S217" i="16"/>
  <c r="G217" i="16" s="1"/>
  <c r="S153" i="16"/>
  <c r="G153" i="16" s="1"/>
  <c r="S90" i="16"/>
  <c r="S26" i="16"/>
  <c r="G26" i="16" s="1"/>
  <c r="Y217" i="16"/>
  <c r="Y153" i="16"/>
  <c r="Y90" i="16"/>
  <c r="Y26" i="16"/>
  <c r="S216" i="16"/>
  <c r="G216" i="16" s="1"/>
  <c r="S152" i="16"/>
  <c r="G152" i="16" s="1"/>
  <c r="S89" i="16"/>
  <c r="G89" i="16" s="1"/>
  <c r="S25" i="16"/>
  <c r="G25" i="16" s="1"/>
  <c r="Y216" i="16"/>
  <c r="Y152" i="16"/>
  <c r="Y89" i="16"/>
  <c r="Y25" i="16"/>
  <c r="S215" i="16"/>
  <c r="S151" i="16"/>
  <c r="G151" i="16" s="1"/>
  <c r="S88" i="16"/>
  <c r="G88" i="16" s="1"/>
  <c r="S24" i="16"/>
  <c r="G24" i="16" s="1"/>
  <c r="S245" i="16"/>
  <c r="S250" i="16"/>
  <c r="G250" i="16" s="1"/>
  <c r="S123" i="16"/>
  <c r="Y59" i="16"/>
  <c r="S122" i="16"/>
  <c r="G122" i="16" s="1"/>
  <c r="S248" i="16"/>
  <c r="Y184" i="16"/>
  <c r="D182" i="16"/>
  <c r="J246" i="16"/>
  <c r="S85" i="16"/>
  <c r="G85" i="16" s="1"/>
  <c r="S77" i="16"/>
  <c r="S125" i="16"/>
  <c r="G125" i="16" s="1"/>
  <c r="S117" i="16"/>
  <c r="G117" i="16" s="1"/>
  <c r="S109" i="16"/>
  <c r="G109" i="16" s="1"/>
  <c r="S101" i="16"/>
  <c r="G101" i="16" s="1"/>
  <c r="S93" i="16"/>
  <c r="G93" i="16" s="1"/>
  <c r="Y206" i="16"/>
  <c r="Y142" i="16"/>
  <c r="Y79" i="16"/>
  <c r="Y15" i="16"/>
  <c r="S205" i="16"/>
  <c r="G205" i="16" s="1"/>
  <c r="S141" i="16"/>
  <c r="G141" i="16" s="1"/>
  <c r="S78" i="16"/>
  <c r="G78" i="16" s="1"/>
  <c r="S14" i="16"/>
  <c r="G14" i="16" s="1"/>
  <c r="Y204" i="16"/>
  <c r="Y140" i="16"/>
  <c r="Y77" i="16"/>
  <c r="Y13" i="16"/>
  <c r="S211" i="16"/>
  <c r="G211" i="16" s="1"/>
  <c r="S147" i="16"/>
  <c r="S84" i="16"/>
  <c r="G84" i="16" s="1"/>
  <c r="S20" i="16"/>
  <c r="G20" i="16" s="1"/>
  <c r="Y211" i="16"/>
  <c r="Y147" i="16"/>
  <c r="Y84" i="16"/>
  <c r="Y20" i="16"/>
  <c r="S210" i="16"/>
  <c r="G210" i="16" s="1"/>
  <c r="S146" i="16"/>
  <c r="G146" i="16" s="1"/>
  <c r="S83" i="16"/>
  <c r="G83" i="16" s="1"/>
  <c r="S19" i="16"/>
  <c r="G19" i="16" s="1"/>
  <c r="Y210" i="16"/>
  <c r="Y146" i="16"/>
  <c r="Y83" i="16"/>
  <c r="Y19" i="16"/>
  <c r="S209" i="16"/>
  <c r="S145" i="16"/>
  <c r="S82" i="16"/>
  <c r="G82" i="16" s="1"/>
  <c r="S18" i="16"/>
  <c r="G18" i="16" s="1"/>
  <c r="Y209" i="16"/>
  <c r="Y145" i="16"/>
  <c r="Y82" i="16"/>
  <c r="Y18" i="16"/>
  <c r="S208" i="16"/>
  <c r="G208" i="16" s="1"/>
  <c r="S144" i="16"/>
  <c r="G144" i="16" s="1"/>
  <c r="S81" i="16"/>
  <c r="G81" i="16" s="1"/>
  <c r="S17" i="16"/>
  <c r="G17" i="16" s="1"/>
  <c r="Y208" i="16"/>
  <c r="Y144" i="16"/>
  <c r="Y81" i="16"/>
  <c r="Y17" i="16"/>
  <c r="S207" i="16"/>
  <c r="G207" i="16" s="1"/>
  <c r="S143" i="16"/>
  <c r="S80" i="16"/>
  <c r="G80" i="16" s="1"/>
  <c r="S16" i="16"/>
  <c r="G16" i="16" s="1"/>
  <c r="S119" i="16"/>
  <c r="S187" i="16"/>
  <c r="G187" i="16" s="1"/>
  <c r="S60" i="16"/>
  <c r="G60" i="16" s="1"/>
  <c r="Y250" i="16"/>
  <c r="Y123" i="16"/>
  <c r="Y58" i="16"/>
  <c r="S184" i="16"/>
  <c r="G184" i="16" s="1"/>
  <c r="H182" i="16"/>
  <c r="E246" i="16"/>
  <c r="S196" i="16"/>
  <c r="G196" i="16" s="1"/>
  <c r="S21" i="16"/>
  <c r="G21" i="16" s="1"/>
  <c r="S13" i="16"/>
  <c r="G13" i="16" s="1"/>
  <c r="S61" i="16"/>
  <c r="G61" i="16" s="1"/>
  <c r="S53" i="16"/>
  <c r="G53" i="16" s="1"/>
  <c r="S45" i="16"/>
  <c r="G45" i="16" s="1"/>
  <c r="S37" i="16"/>
  <c r="G37" i="16" s="1"/>
  <c r="S29" i="16"/>
  <c r="G29" i="16" s="1"/>
  <c r="S198" i="16"/>
  <c r="Y198" i="16"/>
  <c r="Y134" i="16"/>
  <c r="Y71" i="16"/>
  <c r="Y7" i="16"/>
  <c r="S197" i="16"/>
  <c r="S133" i="16"/>
  <c r="S70" i="16"/>
  <c r="G70" i="16" s="1"/>
  <c r="S6" i="16"/>
  <c r="G6" i="16" s="1"/>
  <c r="Y196" i="16"/>
  <c r="Y132" i="16"/>
  <c r="Y69" i="16"/>
  <c r="Y5" i="16"/>
  <c r="S203" i="16"/>
  <c r="S139" i="16"/>
  <c r="G139" i="16" s="1"/>
  <c r="S12" i="16"/>
  <c r="Y203" i="16"/>
  <c r="Y139" i="16"/>
  <c r="Y76" i="16"/>
  <c r="Y12" i="16"/>
  <c r="S202" i="16"/>
  <c r="G202" i="16" s="1"/>
  <c r="S138" i="16"/>
  <c r="S75" i="16"/>
  <c r="G75" i="16" s="1"/>
  <c r="S11" i="16"/>
  <c r="G11" i="16" s="1"/>
  <c r="Y202" i="16"/>
  <c r="Y138" i="16"/>
  <c r="Y75" i="16"/>
  <c r="Y11" i="16"/>
  <c r="S201" i="16"/>
  <c r="G201" i="16" s="1"/>
  <c r="S137" i="16"/>
  <c r="S74" i="16"/>
  <c r="G74" i="16" s="1"/>
  <c r="S10" i="16"/>
  <c r="G10" i="16" s="1"/>
  <c r="Y201" i="16"/>
  <c r="Y137" i="16"/>
  <c r="Y74" i="16"/>
  <c r="Y10" i="16"/>
  <c r="S200" i="16"/>
  <c r="G200" i="16" s="1"/>
  <c r="S136" i="16"/>
  <c r="G136" i="16" s="1"/>
  <c r="S73" i="16"/>
  <c r="G73" i="16" s="1"/>
  <c r="S9" i="16"/>
  <c r="G9" i="16" s="1"/>
  <c r="Y200" i="16"/>
  <c r="Y136" i="16"/>
  <c r="Y73" i="16"/>
  <c r="Y9" i="16"/>
  <c r="S199" i="16"/>
  <c r="S135" i="16"/>
  <c r="G135" i="16" s="1"/>
  <c r="S72" i="16"/>
  <c r="G72" i="16" s="1"/>
  <c r="S8" i="16"/>
  <c r="G8" i="16" s="1"/>
  <c r="S54" i="16"/>
  <c r="G54" i="16" s="1"/>
  <c r="E182" i="16"/>
  <c r="F246" i="16"/>
  <c r="S5" i="16"/>
  <c r="G5" i="16" s="1"/>
  <c r="Y245" i="16"/>
  <c r="S254" i="16"/>
  <c r="G254" i="16" s="1"/>
  <c r="S127" i="16"/>
  <c r="G127" i="16" s="1"/>
  <c r="Y254" i="16"/>
  <c r="Y190" i="16"/>
  <c r="Y127" i="16"/>
  <c r="Y63" i="16"/>
  <c r="S253" i="16"/>
  <c r="S189" i="16"/>
  <c r="G189" i="16" s="1"/>
  <c r="S126" i="16"/>
  <c r="G126" i="16" s="1"/>
  <c r="S62" i="16"/>
  <c r="G62" i="16" s="1"/>
  <c r="Y252" i="16"/>
  <c r="Y188" i="16"/>
  <c r="Y125" i="16"/>
  <c r="Y61" i="16"/>
  <c r="S259" i="16"/>
  <c r="G259" i="16" s="1"/>
  <c r="S68" i="16"/>
  <c r="G68" i="16" s="1"/>
  <c r="Y259" i="16"/>
  <c r="Y195" i="16"/>
  <c r="Y68" i="16"/>
  <c r="S258" i="16"/>
  <c r="G258" i="16" s="1"/>
  <c r="S194" i="16"/>
  <c r="G194" i="16" s="1"/>
  <c r="S131" i="16"/>
  <c r="S67" i="16"/>
  <c r="G67" i="16" s="1"/>
  <c r="Y258" i="16"/>
  <c r="Y194" i="16"/>
  <c r="Y131" i="16"/>
  <c r="Y67" i="16"/>
  <c r="G257" i="16"/>
  <c r="H257" i="16"/>
  <c r="E257" i="16"/>
  <c r="F257" i="16"/>
  <c r="J257" i="16"/>
  <c r="I257" i="16"/>
  <c r="D257" i="16"/>
  <c r="S193" i="16"/>
  <c r="G193" i="16" s="1"/>
  <c r="S66" i="16"/>
  <c r="G66" i="16" s="1"/>
  <c r="Y257" i="16"/>
  <c r="Y193" i="16"/>
  <c r="Y130" i="16"/>
  <c r="Y66" i="16"/>
  <c r="S256" i="16"/>
  <c r="G256" i="16" s="1"/>
  <c r="S192" i="16"/>
  <c r="G192" i="16" s="1"/>
  <c r="S129" i="16"/>
  <c r="S65" i="16"/>
  <c r="G65" i="16" s="1"/>
  <c r="Y256" i="16"/>
  <c r="Y192" i="16"/>
  <c r="Y129" i="16"/>
  <c r="Y65" i="16"/>
  <c r="S255" i="16"/>
  <c r="G255" i="16" s="1"/>
  <c r="S191" i="16"/>
  <c r="G191" i="16" s="1"/>
  <c r="S128" i="16"/>
  <c r="G128" i="16" s="1"/>
  <c r="S64" i="16"/>
  <c r="G64" i="16" s="1"/>
  <c r="U1239" i="16"/>
  <c r="U710" i="16"/>
  <c r="U582" i="16"/>
  <c r="U462" i="16"/>
  <c r="U798" i="16"/>
  <c r="U1023" i="16"/>
  <c r="U1199" i="16"/>
  <c r="U1063" i="16"/>
  <c r="U318" i="16"/>
  <c r="U870" i="16"/>
  <c r="U1143" i="16"/>
  <c r="U846" i="16"/>
  <c r="U382" i="16"/>
  <c r="U1079" i="16"/>
  <c r="U1135" i="16"/>
  <c r="U294" i="16"/>
  <c r="U638" i="16"/>
  <c r="U1047" i="16"/>
  <c r="U991" i="16"/>
  <c r="U758" i="16"/>
  <c r="U702" i="16"/>
  <c r="U734" i="16"/>
  <c r="U750" i="16"/>
  <c r="U1167" i="16"/>
  <c r="U1055" i="16"/>
  <c r="U1071" i="16"/>
  <c r="U838" i="16"/>
  <c r="U598" i="16"/>
  <c r="U654" i="16"/>
  <c r="U342" i="16"/>
  <c r="U526" i="16"/>
  <c r="U477" i="16"/>
  <c r="U983" i="16"/>
  <c r="U686" i="16"/>
  <c r="U478" i="16"/>
  <c r="U1031" i="16"/>
  <c r="U918" i="16"/>
  <c r="U1007" i="16"/>
  <c r="U510" i="16"/>
  <c r="U1015" i="16"/>
  <c r="U1014" i="16"/>
  <c r="U1054" i="16"/>
  <c r="U629" i="16"/>
  <c r="U1159" i="16"/>
  <c r="U310" i="16"/>
  <c r="U894" i="16"/>
  <c r="U830" i="16"/>
  <c r="U766" i="16"/>
  <c r="U1175" i="16"/>
  <c r="U486" i="16"/>
  <c r="U365" i="16"/>
  <c r="U1086" i="16"/>
  <c r="U1238" i="16"/>
  <c r="U1223" i="16"/>
  <c r="U1103" i="16"/>
  <c r="U614" i="16"/>
  <c r="U534" i="16"/>
  <c r="U302" i="16"/>
  <c r="U1183" i="16"/>
  <c r="U790" i="16"/>
  <c r="U1151" i="16"/>
  <c r="U999" i="16"/>
  <c r="U806" i="16"/>
  <c r="U494" i="16"/>
  <c r="U1215" i="16"/>
  <c r="U782" i="16"/>
  <c r="U406" i="16"/>
  <c r="U286" i="16"/>
  <c r="U350" i="16"/>
  <c r="U967" i="16"/>
  <c r="U893" i="16"/>
  <c r="U886" i="16"/>
  <c r="U718" i="16"/>
  <c r="U518" i="16"/>
  <c r="U622" i="16"/>
  <c r="U1271" i="16"/>
  <c r="U934" i="16"/>
  <c r="U373" i="16"/>
  <c r="U1280" i="16"/>
  <c r="U509" i="16"/>
  <c r="U958" i="16"/>
  <c r="U326" i="16"/>
  <c r="U975" i="16"/>
  <c r="U670" i="16"/>
  <c r="U902" i="16"/>
  <c r="U1255" i="16"/>
  <c r="U446" i="16"/>
  <c r="U390" i="16"/>
  <c r="U854" i="16"/>
  <c r="U926" i="16"/>
  <c r="U398" i="16"/>
  <c r="U726" i="16"/>
  <c r="U878" i="16"/>
  <c r="U1111" i="16"/>
  <c r="U678" i="16"/>
  <c r="U694" i="16"/>
  <c r="U1127" i="16"/>
  <c r="U454" i="16"/>
  <c r="U1247" i="16"/>
  <c r="U1263" i="16"/>
  <c r="U685" i="16"/>
  <c r="U661" i="16"/>
  <c r="U1062" i="16"/>
  <c r="U541" i="16"/>
  <c r="U900" i="16"/>
  <c r="U1150" i="16"/>
  <c r="U525" i="16"/>
  <c r="U853" i="16"/>
  <c r="U805" i="16"/>
  <c r="U677" i="16"/>
  <c r="U693" i="16"/>
  <c r="U949" i="16"/>
  <c r="U421" i="16"/>
  <c r="U1078" i="16"/>
  <c r="U717" i="16"/>
  <c r="U349" i="16"/>
  <c r="U1070" i="16"/>
  <c r="U621" i="16"/>
  <c r="U813" i="16"/>
  <c r="U749" i="16"/>
  <c r="U461" i="16"/>
  <c r="U845" i="16"/>
  <c r="U1134" i="16"/>
  <c r="U341" i="16"/>
  <c r="U7" i="16"/>
  <c r="U1038" i="16"/>
  <c r="U573" i="16"/>
  <c r="U1206" i="16"/>
  <c r="U1254" i="16"/>
  <c r="U925" i="16"/>
  <c r="U501" i="16"/>
  <c r="U1174" i="16"/>
  <c r="U901" i="16"/>
  <c r="U1102" i="16"/>
  <c r="U821" i="16"/>
  <c r="U1246" i="16"/>
  <c r="U1142" i="16"/>
  <c r="U1030" i="16"/>
  <c r="U1094" i="16"/>
  <c r="U381" i="16"/>
  <c r="U861" i="16"/>
  <c r="U1101" i="16"/>
  <c r="U998" i="16"/>
  <c r="U974" i="16"/>
  <c r="U309" i="16"/>
  <c r="U1278" i="16"/>
  <c r="U357" i="16"/>
  <c r="U773" i="16"/>
  <c r="U941" i="16"/>
  <c r="U493" i="16"/>
  <c r="H65" i="10"/>
  <c r="D65" i="10" s="1"/>
  <c r="H64" i="10"/>
  <c r="D64" i="10" s="1"/>
  <c r="G65" i="10"/>
  <c r="H63" i="10"/>
  <c r="D63" i="10" s="1"/>
  <c r="H62" i="10"/>
  <c r="D62" i="10" s="1"/>
  <c r="G64" i="10"/>
  <c r="G63" i="10"/>
  <c r="G62" i="10"/>
  <c r="F66" i="10"/>
  <c r="C66" i="10" s="1"/>
  <c r="U1165" i="16"/>
  <c r="U354" i="16"/>
  <c r="U1187" i="16"/>
  <c r="U1091" i="16"/>
  <c r="D41" i="10"/>
  <c r="C41" i="10"/>
  <c r="U822" i="16"/>
  <c r="D43" i="10"/>
  <c r="C43" i="10"/>
  <c r="D27" i="10"/>
  <c r="C27" i="10"/>
  <c r="D38" i="10"/>
  <c r="C38" i="10"/>
  <c r="D32" i="10"/>
  <c r="C32" i="10"/>
  <c r="D48" i="10"/>
  <c r="C48" i="10"/>
  <c r="D26" i="10"/>
  <c r="C26" i="10"/>
  <c r="D37" i="10"/>
  <c r="C37" i="10"/>
  <c r="D47" i="10"/>
  <c r="C47" i="10"/>
  <c r="U950" i="16"/>
  <c r="C33" i="10"/>
  <c r="D33" i="10"/>
  <c r="D31" i="10"/>
  <c r="C31" i="10"/>
  <c r="F64" i="10"/>
  <c r="F62" i="10"/>
  <c r="B2" i="10" s="1"/>
  <c r="F65" i="10"/>
  <c r="F54" i="10"/>
  <c r="H54" i="10" s="1"/>
  <c r="F51" i="10"/>
  <c r="F58" i="10"/>
  <c r="H58" i="10" s="1"/>
  <c r="F60" i="10"/>
  <c r="H60" i="10" s="1"/>
  <c r="H50" i="10"/>
  <c r="F55" i="10"/>
  <c r="H55" i="10" s="1"/>
  <c r="F59" i="10"/>
  <c r="H59" i="10" s="1"/>
  <c r="F53" i="10"/>
  <c r="H53" i="10" s="1"/>
  <c r="F56" i="10"/>
  <c r="H56" i="10" s="1"/>
  <c r="F63" i="10"/>
  <c r="F57" i="10"/>
  <c r="H57" i="10" s="1"/>
  <c r="D36" i="10"/>
  <c r="C36" i="10"/>
  <c r="D42" i="10"/>
  <c r="C42" i="10"/>
  <c r="D28" i="10"/>
  <c r="C28" i="10"/>
  <c r="C46" i="10"/>
  <c r="D46" i="10"/>
  <c r="U835" i="16"/>
  <c r="U1010" i="16"/>
  <c r="U433" i="16"/>
  <c r="U980" i="16"/>
  <c r="U531" i="16"/>
  <c r="U978" i="16"/>
  <c r="U442" i="16"/>
  <c r="U1144" i="16"/>
  <c r="U554" i="16"/>
  <c r="U788" i="16"/>
  <c r="U560" i="16"/>
  <c r="U547" i="16"/>
  <c r="U1108" i="16"/>
  <c r="U1197" i="16"/>
  <c r="U502" i="16"/>
  <c r="U324" i="16"/>
  <c r="U994" i="16"/>
  <c r="U1181" i="16"/>
  <c r="U270" i="16"/>
  <c r="U422" i="16"/>
  <c r="U824" i="16"/>
  <c r="U414" i="16"/>
  <c r="U476" i="16"/>
  <c r="U675" i="16"/>
  <c r="U645" i="16"/>
  <c r="U337" i="16"/>
  <c r="U1226" i="16"/>
  <c r="F195" i="16" l="1"/>
  <c r="J214" i="16"/>
  <c r="G163" i="16"/>
  <c r="J163" i="16"/>
  <c r="F163" i="16"/>
  <c r="D163" i="16"/>
  <c r="U134" i="16"/>
  <c r="F214" i="16"/>
  <c r="U71" i="16"/>
  <c r="H214" i="16"/>
  <c r="I214" i="16"/>
  <c r="E214" i="16"/>
  <c r="D214" i="16"/>
  <c r="J228" i="16"/>
  <c r="I228" i="16"/>
  <c r="F228" i="16"/>
  <c r="H228" i="16"/>
  <c r="G228" i="16"/>
  <c r="D228" i="16"/>
  <c r="U63" i="16"/>
  <c r="H76" i="16"/>
  <c r="D76" i="16"/>
  <c r="J76" i="16"/>
  <c r="E76" i="16"/>
  <c r="I76" i="16"/>
  <c r="F76" i="16"/>
  <c r="U79" i="16"/>
  <c r="I195" i="16"/>
  <c r="D195" i="16"/>
  <c r="E195" i="16"/>
  <c r="G195" i="16"/>
  <c r="J195" i="16"/>
  <c r="U238" i="16"/>
  <c r="U130" i="16"/>
  <c r="F150" i="16"/>
  <c r="D150" i="16"/>
  <c r="G150" i="16"/>
  <c r="I150" i="16"/>
  <c r="H150" i="16"/>
  <c r="E150" i="16"/>
  <c r="C63" i="10"/>
  <c r="U190" i="16"/>
  <c r="C64" i="10"/>
  <c r="E230" i="16"/>
  <c r="C62" i="10"/>
  <c r="H230" i="16"/>
  <c r="F230" i="16"/>
  <c r="I230" i="16"/>
  <c r="D230" i="16"/>
  <c r="J230" i="16"/>
  <c r="E15" i="16"/>
  <c r="U15" i="16" s="1"/>
  <c r="J15" i="16"/>
  <c r="G15" i="16"/>
  <c r="H15" i="16"/>
  <c r="I15" i="16"/>
  <c r="F15" i="16"/>
  <c r="U222" i="16"/>
  <c r="U160" i="16"/>
  <c r="U142" i="16"/>
  <c r="U39" i="16"/>
  <c r="U95" i="16"/>
  <c r="U206" i="16"/>
  <c r="I28" i="16"/>
  <c r="H28" i="16"/>
  <c r="F28" i="16"/>
  <c r="E28" i="16"/>
  <c r="D28" i="16"/>
  <c r="J28" i="16"/>
  <c r="G28" i="16"/>
  <c r="U182" i="16"/>
  <c r="U246" i="16"/>
  <c r="U163" i="16"/>
  <c r="U105" i="16"/>
  <c r="J137" i="16"/>
  <c r="I137" i="16"/>
  <c r="H137" i="16"/>
  <c r="F137" i="16"/>
  <c r="D137" i="16"/>
  <c r="E137" i="16"/>
  <c r="I12" i="16"/>
  <c r="J12" i="16"/>
  <c r="H12" i="16"/>
  <c r="E12" i="16"/>
  <c r="D12" i="16"/>
  <c r="F12" i="16"/>
  <c r="I154" i="16"/>
  <c r="F154" i="16"/>
  <c r="H154" i="16"/>
  <c r="D154" i="16"/>
  <c r="J154" i="16"/>
  <c r="E154" i="16"/>
  <c r="E191" i="16"/>
  <c r="I191" i="16"/>
  <c r="D191" i="16"/>
  <c r="H191" i="16"/>
  <c r="F191" i="16"/>
  <c r="J191" i="16"/>
  <c r="H138" i="16"/>
  <c r="J138" i="16"/>
  <c r="D138" i="16"/>
  <c r="E138" i="16"/>
  <c r="I138" i="16"/>
  <c r="F138" i="16"/>
  <c r="D203" i="16"/>
  <c r="H203" i="16"/>
  <c r="I203" i="16"/>
  <c r="E203" i="16"/>
  <c r="F203" i="16"/>
  <c r="J203" i="16"/>
  <c r="E198" i="16"/>
  <c r="J198" i="16"/>
  <c r="H198" i="16"/>
  <c r="D198" i="16"/>
  <c r="F198" i="16"/>
  <c r="I198" i="16"/>
  <c r="F196" i="16"/>
  <c r="E196" i="16"/>
  <c r="H196" i="16"/>
  <c r="J196" i="16"/>
  <c r="I196" i="16"/>
  <c r="D196" i="16"/>
  <c r="F119" i="16"/>
  <c r="J119" i="16"/>
  <c r="I119" i="16"/>
  <c r="E119" i="16"/>
  <c r="D119" i="16"/>
  <c r="H119" i="16"/>
  <c r="H145" i="16"/>
  <c r="F145" i="16"/>
  <c r="E145" i="16"/>
  <c r="D145" i="16"/>
  <c r="I145" i="16"/>
  <c r="J145" i="16"/>
  <c r="I19" i="16"/>
  <c r="J19" i="16"/>
  <c r="H19" i="16"/>
  <c r="E19" i="16"/>
  <c r="F19" i="16"/>
  <c r="D19" i="16"/>
  <c r="F20" i="16"/>
  <c r="E20" i="16"/>
  <c r="I20" i="16"/>
  <c r="H20" i="16"/>
  <c r="J20" i="16"/>
  <c r="D20" i="16"/>
  <c r="D211" i="16"/>
  <c r="H211" i="16"/>
  <c r="F211" i="16"/>
  <c r="E211" i="16"/>
  <c r="I211" i="16"/>
  <c r="J211" i="16"/>
  <c r="J90" i="16"/>
  <c r="F90" i="16"/>
  <c r="D90" i="16"/>
  <c r="I90" i="16"/>
  <c r="H90" i="16"/>
  <c r="E90" i="16"/>
  <c r="G219" i="16"/>
  <c r="D219" i="16"/>
  <c r="I219" i="16"/>
  <c r="J219" i="16"/>
  <c r="E219" i="16"/>
  <c r="F219" i="16"/>
  <c r="H219" i="16"/>
  <c r="H213" i="16"/>
  <c r="I213" i="16"/>
  <c r="F213" i="16"/>
  <c r="D213" i="16"/>
  <c r="E213" i="16"/>
  <c r="J213" i="16"/>
  <c r="E223" i="16"/>
  <c r="F223" i="16"/>
  <c r="H223" i="16"/>
  <c r="I223" i="16"/>
  <c r="J223" i="16"/>
  <c r="G223" i="16"/>
  <c r="D223" i="16"/>
  <c r="H227" i="16"/>
  <c r="D227" i="16"/>
  <c r="J227" i="16"/>
  <c r="I227" i="16"/>
  <c r="F227" i="16"/>
  <c r="E227" i="16"/>
  <c r="E204" i="16"/>
  <c r="D204" i="16"/>
  <c r="J204" i="16"/>
  <c r="H204" i="16"/>
  <c r="I204" i="16"/>
  <c r="F204" i="16"/>
  <c r="E249" i="16"/>
  <c r="J249" i="16"/>
  <c r="D249" i="16"/>
  <c r="I249" i="16"/>
  <c r="H249" i="16"/>
  <c r="F249" i="16"/>
  <c r="F106" i="16"/>
  <c r="I106" i="16"/>
  <c r="E106" i="16"/>
  <c r="D106" i="16"/>
  <c r="H106" i="16"/>
  <c r="J106" i="16"/>
  <c r="H107" i="16"/>
  <c r="D107" i="16"/>
  <c r="E107" i="16"/>
  <c r="F107" i="16"/>
  <c r="I107" i="16"/>
  <c r="J107" i="16"/>
  <c r="I175" i="16"/>
  <c r="J175" i="16"/>
  <c r="D175" i="16"/>
  <c r="E175" i="16"/>
  <c r="F175" i="16"/>
  <c r="H175" i="16"/>
  <c r="F50" i="16"/>
  <c r="I50" i="16"/>
  <c r="H50" i="16"/>
  <c r="J50" i="16"/>
  <c r="D50" i="16"/>
  <c r="E50" i="16"/>
  <c r="H241" i="16"/>
  <c r="D241" i="16"/>
  <c r="I241" i="16"/>
  <c r="J241" i="16"/>
  <c r="E241" i="16"/>
  <c r="F241" i="16"/>
  <c r="D237" i="16"/>
  <c r="F237" i="16"/>
  <c r="G237" i="16"/>
  <c r="I237" i="16"/>
  <c r="E237" i="16"/>
  <c r="H237" i="16"/>
  <c r="J237" i="16"/>
  <c r="H56" i="16"/>
  <c r="E56" i="16"/>
  <c r="I56" i="16"/>
  <c r="D56" i="16"/>
  <c r="J56" i="16"/>
  <c r="F56" i="16"/>
  <c r="D247" i="16"/>
  <c r="H247" i="16"/>
  <c r="F247" i="16"/>
  <c r="I247" i="16"/>
  <c r="E247" i="16"/>
  <c r="J247" i="16"/>
  <c r="E59" i="16"/>
  <c r="H59" i="16"/>
  <c r="I59" i="16"/>
  <c r="D59" i="16"/>
  <c r="F59" i="16"/>
  <c r="J59" i="16"/>
  <c r="E143" i="16"/>
  <c r="H143" i="16"/>
  <c r="D143" i="16"/>
  <c r="J143" i="16"/>
  <c r="F143" i="16"/>
  <c r="I143" i="16"/>
  <c r="E77" i="16"/>
  <c r="I77" i="16"/>
  <c r="H77" i="16"/>
  <c r="D77" i="16"/>
  <c r="F77" i="16"/>
  <c r="J77" i="16"/>
  <c r="J192" i="16"/>
  <c r="F192" i="16"/>
  <c r="D192" i="16"/>
  <c r="I192" i="16"/>
  <c r="E192" i="16"/>
  <c r="H192" i="16"/>
  <c r="E126" i="16"/>
  <c r="H126" i="16"/>
  <c r="D126" i="16"/>
  <c r="J126" i="16"/>
  <c r="I126" i="16"/>
  <c r="F126" i="16"/>
  <c r="D8" i="16"/>
  <c r="F8" i="16"/>
  <c r="H8" i="16"/>
  <c r="I8" i="16"/>
  <c r="E8" i="16"/>
  <c r="J8" i="16"/>
  <c r="J68" i="16"/>
  <c r="F68" i="16"/>
  <c r="H68" i="16"/>
  <c r="I68" i="16"/>
  <c r="E68" i="16"/>
  <c r="D68" i="16"/>
  <c r="D127" i="16"/>
  <c r="I127" i="16"/>
  <c r="E127" i="16"/>
  <c r="H127" i="16"/>
  <c r="J127" i="16"/>
  <c r="F127" i="16"/>
  <c r="D73" i="16"/>
  <c r="E73" i="16"/>
  <c r="F73" i="16"/>
  <c r="J73" i="16"/>
  <c r="I73" i="16"/>
  <c r="H73" i="16"/>
  <c r="G137" i="16"/>
  <c r="G12" i="16"/>
  <c r="H70" i="16"/>
  <c r="E70" i="16"/>
  <c r="J70" i="16"/>
  <c r="D70" i="16"/>
  <c r="F70" i="16"/>
  <c r="I70" i="16"/>
  <c r="G198" i="16"/>
  <c r="I45" i="16"/>
  <c r="E45" i="16"/>
  <c r="H45" i="16"/>
  <c r="D45" i="16"/>
  <c r="J45" i="16"/>
  <c r="F45" i="16"/>
  <c r="G119" i="16"/>
  <c r="G143" i="16"/>
  <c r="I210" i="16"/>
  <c r="D210" i="16"/>
  <c r="H210" i="16"/>
  <c r="F210" i="16"/>
  <c r="E210" i="16"/>
  <c r="J210" i="16"/>
  <c r="F78" i="16"/>
  <c r="I78" i="16"/>
  <c r="H78" i="16"/>
  <c r="J78" i="16"/>
  <c r="D78" i="16"/>
  <c r="E78" i="16"/>
  <c r="I109" i="16"/>
  <c r="D109" i="16"/>
  <c r="E109" i="16"/>
  <c r="H109" i="16"/>
  <c r="F109" i="16"/>
  <c r="J109" i="16"/>
  <c r="G77" i="16"/>
  <c r="G123" i="16"/>
  <c r="D123" i="16"/>
  <c r="H123" i="16"/>
  <c r="E123" i="16"/>
  <c r="I123" i="16"/>
  <c r="J123" i="16"/>
  <c r="F123" i="16"/>
  <c r="D24" i="16"/>
  <c r="J24" i="16"/>
  <c r="E24" i="16"/>
  <c r="H24" i="16"/>
  <c r="F24" i="16"/>
  <c r="I24" i="16"/>
  <c r="E89" i="16"/>
  <c r="I89" i="16"/>
  <c r="D89" i="16"/>
  <c r="J89" i="16"/>
  <c r="F89" i="16"/>
  <c r="H89" i="16"/>
  <c r="G154" i="16"/>
  <c r="I156" i="16"/>
  <c r="E156" i="16"/>
  <c r="J156" i="16"/>
  <c r="H156" i="16"/>
  <c r="D156" i="16"/>
  <c r="F156" i="16"/>
  <c r="D180" i="16"/>
  <c r="E180" i="16"/>
  <c r="F180" i="16"/>
  <c r="I180" i="16"/>
  <c r="J180" i="16"/>
  <c r="H180" i="16"/>
  <c r="F148" i="16"/>
  <c r="J148" i="16"/>
  <c r="I148" i="16"/>
  <c r="D148" i="16"/>
  <c r="H148" i="16"/>
  <c r="E148" i="16"/>
  <c r="G58" i="16"/>
  <c r="E58" i="16"/>
  <c r="H58" i="16"/>
  <c r="I58" i="16"/>
  <c r="J58" i="16"/>
  <c r="F58" i="16"/>
  <c r="D58" i="16"/>
  <c r="F32" i="16"/>
  <c r="I32" i="16"/>
  <c r="E32" i="16"/>
  <c r="D32" i="16"/>
  <c r="H32" i="16"/>
  <c r="J32" i="16"/>
  <c r="D104" i="16"/>
  <c r="J104" i="16"/>
  <c r="I104" i="16"/>
  <c r="H104" i="16"/>
  <c r="E104" i="16"/>
  <c r="F104" i="16"/>
  <c r="I185" i="16"/>
  <c r="D185" i="16"/>
  <c r="E185" i="16"/>
  <c r="H185" i="16"/>
  <c r="J185" i="16"/>
  <c r="F185" i="16"/>
  <c r="D49" i="16"/>
  <c r="F49" i="16"/>
  <c r="J49" i="16"/>
  <c r="E49" i="16"/>
  <c r="H49" i="16"/>
  <c r="I49" i="16"/>
  <c r="G240" i="16"/>
  <c r="I240" i="16"/>
  <c r="H240" i="16"/>
  <c r="E240" i="16"/>
  <c r="D240" i="16"/>
  <c r="J240" i="16"/>
  <c r="F240" i="16"/>
  <c r="D115" i="16"/>
  <c r="I115" i="16"/>
  <c r="F115" i="16"/>
  <c r="H115" i="16"/>
  <c r="E115" i="16"/>
  <c r="J115" i="16"/>
  <c r="E179" i="16"/>
  <c r="F179" i="16"/>
  <c r="J179" i="16"/>
  <c r="I179" i="16"/>
  <c r="D179" i="16"/>
  <c r="H179" i="16"/>
  <c r="D111" i="16"/>
  <c r="J111" i="16"/>
  <c r="H111" i="16"/>
  <c r="F111" i="16"/>
  <c r="E111" i="16"/>
  <c r="I111" i="16"/>
  <c r="E64" i="16"/>
  <c r="D64" i="16"/>
  <c r="F64" i="16"/>
  <c r="J64" i="16"/>
  <c r="I64" i="16"/>
  <c r="H64" i="16"/>
  <c r="D133" i="16"/>
  <c r="J133" i="16"/>
  <c r="H133" i="16"/>
  <c r="E133" i="16"/>
  <c r="F133" i="16"/>
  <c r="G133" i="16"/>
  <c r="I133" i="16"/>
  <c r="J13" i="16"/>
  <c r="F13" i="16"/>
  <c r="I13" i="16"/>
  <c r="E13" i="16"/>
  <c r="D13" i="16"/>
  <c r="H13" i="16"/>
  <c r="F97" i="16"/>
  <c r="E97" i="16"/>
  <c r="J97" i="16"/>
  <c r="H97" i="16"/>
  <c r="D97" i="16"/>
  <c r="I97" i="16"/>
  <c r="J255" i="16"/>
  <c r="D255" i="16"/>
  <c r="E255" i="16"/>
  <c r="I255" i="16"/>
  <c r="H255" i="16"/>
  <c r="F255" i="16"/>
  <c r="F256" i="16"/>
  <c r="D256" i="16"/>
  <c r="J256" i="16"/>
  <c r="I256" i="16"/>
  <c r="E256" i="16"/>
  <c r="H256" i="16"/>
  <c r="F189" i="16"/>
  <c r="J189" i="16"/>
  <c r="H189" i="16"/>
  <c r="E189" i="16"/>
  <c r="I189" i="16"/>
  <c r="D189" i="16"/>
  <c r="E136" i="16"/>
  <c r="H136" i="16"/>
  <c r="F136" i="16"/>
  <c r="I136" i="16"/>
  <c r="J136" i="16"/>
  <c r="D136" i="16"/>
  <c r="F11" i="16"/>
  <c r="D11" i="16"/>
  <c r="J11" i="16"/>
  <c r="I11" i="16"/>
  <c r="H11" i="16"/>
  <c r="E11" i="16"/>
  <c r="D202" i="16"/>
  <c r="I202" i="16"/>
  <c r="F202" i="16"/>
  <c r="H202" i="16"/>
  <c r="E202" i="16"/>
  <c r="J202" i="16"/>
  <c r="G197" i="16"/>
  <c r="I197" i="16"/>
  <c r="F197" i="16"/>
  <c r="E197" i="16"/>
  <c r="J197" i="16"/>
  <c r="D197" i="16"/>
  <c r="H197" i="16"/>
  <c r="J83" i="16"/>
  <c r="E83" i="16"/>
  <c r="F83" i="16"/>
  <c r="D83" i="16"/>
  <c r="H83" i="16"/>
  <c r="I83" i="16"/>
  <c r="J84" i="16"/>
  <c r="F84" i="16"/>
  <c r="I84" i="16"/>
  <c r="E84" i="16"/>
  <c r="D84" i="16"/>
  <c r="H84" i="16"/>
  <c r="F141" i="16"/>
  <c r="E141" i="16"/>
  <c r="I141" i="16"/>
  <c r="H141" i="16"/>
  <c r="J141" i="16"/>
  <c r="D141" i="16"/>
  <c r="G248" i="16"/>
  <c r="I248" i="16"/>
  <c r="J248" i="16"/>
  <c r="F248" i="16"/>
  <c r="E248" i="16"/>
  <c r="D248" i="16"/>
  <c r="H248" i="16"/>
  <c r="F88" i="16"/>
  <c r="I88" i="16"/>
  <c r="E88" i="16"/>
  <c r="J88" i="16"/>
  <c r="D88" i="16"/>
  <c r="H88" i="16"/>
  <c r="E152" i="16"/>
  <c r="F152" i="16"/>
  <c r="H152" i="16"/>
  <c r="D152" i="16"/>
  <c r="I152" i="16"/>
  <c r="J152" i="16"/>
  <c r="G92" i="16"/>
  <c r="H92" i="16"/>
  <c r="J92" i="16"/>
  <c r="E92" i="16"/>
  <c r="I92" i="16"/>
  <c r="F92" i="16"/>
  <c r="D92" i="16"/>
  <c r="D186" i="16"/>
  <c r="F186" i="16"/>
  <c r="E186" i="16"/>
  <c r="I186" i="16"/>
  <c r="H186" i="16"/>
  <c r="J186" i="16"/>
  <c r="F157" i="16"/>
  <c r="J157" i="16"/>
  <c r="I157" i="16"/>
  <c r="H157" i="16"/>
  <c r="G157" i="16"/>
  <c r="E157" i="16"/>
  <c r="D157" i="16"/>
  <c r="F212" i="16"/>
  <c r="I212" i="16"/>
  <c r="H212" i="16"/>
  <c r="E212" i="16"/>
  <c r="J212" i="16"/>
  <c r="D212" i="16"/>
  <c r="E132" i="16"/>
  <c r="H132" i="16"/>
  <c r="I132" i="16"/>
  <c r="J132" i="16"/>
  <c r="D132" i="16"/>
  <c r="F132" i="16"/>
  <c r="J169" i="16"/>
  <c r="I169" i="16"/>
  <c r="E169" i="16"/>
  <c r="D169" i="16"/>
  <c r="F169" i="16"/>
  <c r="H169" i="16"/>
  <c r="J170" i="16"/>
  <c r="H170" i="16"/>
  <c r="E170" i="16"/>
  <c r="F170" i="16"/>
  <c r="I170" i="16"/>
  <c r="D170" i="16"/>
  <c r="I114" i="16"/>
  <c r="E114" i="16"/>
  <c r="H114" i="16"/>
  <c r="J114" i="16"/>
  <c r="F114" i="16"/>
  <c r="D114" i="16"/>
  <c r="I46" i="16"/>
  <c r="J46" i="16"/>
  <c r="H46" i="16"/>
  <c r="D46" i="16"/>
  <c r="E46" i="16"/>
  <c r="F46" i="16"/>
  <c r="H69" i="16"/>
  <c r="J69" i="16"/>
  <c r="F69" i="16"/>
  <c r="E69" i="16"/>
  <c r="D69" i="16"/>
  <c r="I69" i="16"/>
  <c r="I120" i="16"/>
  <c r="J120" i="16"/>
  <c r="E120" i="16"/>
  <c r="F120" i="16"/>
  <c r="D120" i="16"/>
  <c r="H120" i="16"/>
  <c r="D57" i="16"/>
  <c r="I57" i="16"/>
  <c r="J57" i="16"/>
  <c r="H57" i="16"/>
  <c r="E57" i="16"/>
  <c r="F57" i="16"/>
  <c r="I258" i="16"/>
  <c r="H258" i="16"/>
  <c r="D258" i="16"/>
  <c r="F258" i="16"/>
  <c r="J258" i="16"/>
  <c r="E258" i="16"/>
  <c r="F72" i="16"/>
  <c r="E72" i="16"/>
  <c r="H72" i="16"/>
  <c r="I72" i="16"/>
  <c r="D72" i="16"/>
  <c r="J72" i="16"/>
  <c r="F86" i="16"/>
  <c r="I86" i="16"/>
  <c r="J86" i="16"/>
  <c r="E86" i="16"/>
  <c r="D86" i="16"/>
  <c r="H86" i="16"/>
  <c r="H162" i="16"/>
  <c r="D162" i="16"/>
  <c r="J162" i="16"/>
  <c r="F162" i="16"/>
  <c r="I162" i="16"/>
  <c r="E162" i="16"/>
  <c r="I244" i="16"/>
  <c r="E244" i="16"/>
  <c r="D244" i="16"/>
  <c r="H244" i="16"/>
  <c r="J244" i="16"/>
  <c r="F244" i="16"/>
  <c r="D38" i="16"/>
  <c r="I38" i="16"/>
  <c r="G38" i="16"/>
  <c r="H38" i="16"/>
  <c r="E38" i="16"/>
  <c r="F38" i="16"/>
  <c r="J38" i="16"/>
  <c r="F166" i="16"/>
  <c r="E166" i="16"/>
  <c r="J166" i="16"/>
  <c r="D166" i="16"/>
  <c r="I166" i="16"/>
  <c r="H166" i="16"/>
  <c r="H129" i="16"/>
  <c r="I129" i="16"/>
  <c r="F129" i="16"/>
  <c r="J129" i="16"/>
  <c r="E129" i="16"/>
  <c r="D129" i="16"/>
  <c r="G131" i="16"/>
  <c r="D131" i="16"/>
  <c r="J131" i="16"/>
  <c r="F131" i="16"/>
  <c r="I131" i="16"/>
  <c r="E131" i="16"/>
  <c r="H131" i="16"/>
  <c r="H253" i="16"/>
  <c r="F253" i="16"/>
  <c r="E253" i="16"/>
  <c r="D253" i="16"/>
  <c r="G253" i="16"/>
  <c r="J253" i="16"/>
  <c r="I253" i="16"/>
  <c r="E254" i="16"/>
  <c r="J254" i="16"/>
  <c r="F254" i="16"/>
  <c r="D254" i="16"/>
  <c r="I254" i="16"/>
  <c r="H254" i="16"/>
  <c r="E29" i="16"/>
  <c r="J29" i="16"/>
  <c r="H29" i="16"/>
  <c r="F29" i="16"/>
  <c r="I29" i="16"/>
  <c r="D29" i="16"/>
  <c r="J53" i="16"/>
  <c r="E53" i="16"/>
  <c r="H53" i="16"/>
  <c r="D53" i="16"/>
  <c r="F53" i="16"/>
  <c r="I53" i="16"/>
  <c r="E60" i="16"/>
  <c r="F60" i="16"/>
  <c r="D60" i="16"/>
  <c r="I60" i="16"/>
  <c r="H60" i="16"/>
  <c r="J60" i="16"/>
  <c r="E16" i="16"/>
  <c r="D16" i="16"/>
  <c r="H16" i="16"/>
  <c r="I16" i="16"/>
  <c r="F16" i="16"/>
  <c r="J16" i="16"/>
  <c r="E17" i="16"/>
  <c r="I17" i="16"/>
  <c r="D17" i="16"/>
  <c r="F17" i="16"/>
  <c r="J17" i="16"/>
  <c r="H17" i="16"/>
  <c r="I18" i="16"/>
  <c r="J18" i="16"/>
  <c r="F18" i="16"/>
  <c r="E18" i="16"/>
  <c r="H18" i="16"/>
  <c r="D18" i="16"/>
  <c r="J93" i="16"/>
  <c r="H93" i="16"/>
  <c r="F93" i="16"/>
  <c r="D93" i="16"/>
  <c r="E93" i="16"/>
  <c r="I93" i="16"/>
  <c r="I117" i="16"/>
  <c r="J117" i="16"/>
  <c r="D117" i="16"/>
  <c r="F117" i="16"/>
  <c r="E117" i="16"/>
  <c r="H117" i="16"/>
  <c r="F250" i="16"/>
  <c r="E250" i="16"/>
  <c r="J250" i="16"/>
  <c r="I250" i="16"/>
  <c r="H250" i="16"/>
  <c r="D250" i="16"/>
  <c r="D27" i="16"/>
  <c r="I27" i="16"/>
  <c r="F27" i="16"/>
  <c r="E27" i="16"/>
  <c r="J27" i="16"/>
  <c r="H27" i="16"/>
  <c r="J164" i="16"/>
  <c r="H164" i="16"/>
  <c r="E164" i="16"/>
  <c r="I164" i="16"/>
  <c r="D164" i="16"/>
  <c r="F164" i="16"/>
  <c r="D188" i="16"/>
  <c r="F188" i="16"/>
  <c r="I188" i="16"/>
  <c r="H188" i="16"/>
  <c r="J188" i="16"/>
  <c r="E188" i="16"/>
  <c r="F96" i="16"/>
  <c r="H96" i="16"/>
  <c r="I96" i="16"/>
  <c r="D96" i="16"/>
  <c r="E96" i="16"/>
  <c r="J96" i="16"/>
  <c r="J34" i="16"/>
  <c r="E34" i="16"/>
  <c r="F34" i="16"/>
  <c r="H34" i="16"/>
  <c r="I34" i="16"/>
  <c r="D34" i="16"/>
  <c r="E35" i="16"/>
  <c r="J35" i="16"/>
  <c r="I35" i="16"/>
  <c r="H35" i="16"/>
  <c r="D35" i="16"/>
  <c r="F35" i="16"/>
  <c r="I226" i="16"/>
  <c r="H226" i="16"/>
  <c r="J226" i="16"/>
  <c r="E226" i="16"/>
  <c r="D226" i="16"/>
  <c r="F226" i="16"/>
  <c r="J36" i="16"/>
  <c r="D36" i="16"/>
  <c r="I36" i="16"/>
  <c r="E36" i="16"/>
  <c r="F36" i="16"/>
  <c r="H36" i="16"/>
  <c r="H31" i="16"/>
  <c r="D31" i="16"/>
  <c r="F31" i="16"/>
  <c r="E31" i="16"/>
  <c r="J31" i="16"/>
  <c r="I31" i="16"/>
  <c r="I124" i="16"/>
  <c r="H124" i="16"/>
  <c r="J124" i="16"/>
  <c r="D124" i="16"/>
  <c r="F124" i="16"/>
  <c r="E124" i="16"/>
  <c r="E41" i="16"/>
  <c r="I41" i="16"/>
  <c r="D41" i="16"/>
  <c r="H41" i="16"/>
  <c r="J41" i="16"/>
  <c r="F41" i="16"/>
  <c r="F44" i="16"/>
  <c r="I44" i="16"/>
  <c r="D44" i="16"/>
  <c r="E44" i="16"/>
  <c r="H44" i="16"/>
  <c r="J44" i="16"/>
  <c r="F113" i="16"/>
  <c r="H113" i="16"/>
  <c r="D113" i="16"/>
  <c r="E113" i="16"/>
  <c r="I113" i="16"/>
  <c r="J113" i="16"/>
  <c r="E178" i="16"/>
  <c r="H178" i="16"/>
  <c r="I178" i="16"/>
  <c r="D178" i="16"/>
  <c r="J178" i="16"/>
  <c r="F178" i="16"/>
  <c r="F243" i="16"/>
  <c r="D243" i="16"/>
  <c r="H243" i="16"/>
  <c r="J243" i="16"/>
  <c r="I243" i="16"/>
  <c r="E243" i="16"/>
  <c r="G110" i="16"/>
  <c r="I110" i="16"/>
  <c r="J110" i="16"/>
  <c r="F110" i="16"/>
  <c r="D110" i="16"/>
  <c r="E110" i="16"/>
  <c r="H110" i="16"/>
  <c r="J174" i="16"/>
  <c r="H174" i="16"/>
  <c r="E174" i="16"/>
  <c r="D174" i="16"/>
  <c r="F174" i="16"/>
  <c r="I174" i="16"/>
  <c r="I118" i="16"/>
  <c r="D118" i="16"/>
  <c r="J118" i="16"/>
  <c r="E118" i="16"/>
  <c r="F118" i="16"/>
  <c r="H118" i="16"/>
  <c r="H66" i="16"/>
  <c r="I66" i="16"/>
  <c r="E66" i="16"/>
  <c r="D66" i="16"/>
  <c r="J66" i="16"/>
  <c r="F66" i="16"/>
  <c r="J128" i="16"/>
  <c r="D128" i="16"/>
  <c r="H128" i="16"/>
  <c r="F128" i="16"/>
  <c r="I128" i="16"/>
  <c r="E128" i="16"/>
  <c r="G129" i="16"/>
  <c r="F193" i="16"/>
  <c r="D193" i="16"/>
  <c r="H193" i="16"/>
  <c r="E193" i="16"/>
  <c r="I193" i="16"/>
  <c r="J193" i="16"/>
  <c r="J62" i="16"/>
  <c r="H62" i="16"/>
  <c r="D62" i="16"/>
  <c r="I62" i="16"/>
  <c r="F62" i="16"/>
  <c r="E62" i="16"/>
  <c r="I135" i="16"/>
  <c r="D135" i="16"/>
  <c r="J135" i="16"/>
  <c r="E135" i="16"/>
  <c r="F135" i="16"/>
  <c r="H135" i="16"/>
  <c r="F10" i="16"/>
  <c r="E10" i="16"/>
  <c r="D10" i="16"/>
  <c r="H10" i="16"/>
  <c r="I10" i="16"/>
  <c r="J10" i="16"/>
  <c r="D201" i="16"/>
  <c r="J201" i="16"/>
  <c r="H201" i="16"/>
  <c r="F201" i="16"/>
  <c r="E201" i="16"/>
  <c r="I201" i="16"/>
  <c r="J75" i="16"/>
  <c r="H75" i="16"/>
  <c r="E75" i="16"/>
  <c r="D75" i="16"/>
  <c r="F75" i="16"/>
  <c r="I75" i="16"/>
  <c r="D139" i="16"/>
  <c r="J139" i="16"/>
  <c r="I139" i="16"/>
  <c r="E139" i="16"/>
  <c r="H139" i="16"/>
  <c r="F139" i="16"/>
  <c r="J21" i="16"/>
  <c r="E21" i="16"/>
  <c r="D21" i="16"/>
  <c r="I21" i="16"/>
  <c r="F21" i="16"/>
  <c r="H21" i="16"/>
  <c r="H207" i="16"/>
  <c r="I207" i="16"/>
  <c r="E207" i="16"/>
  <c r="F207" i="16"/>
  <c r="J207" i="16"/>
  <c r="D207" i="16"/>
  <c r="F208" i="16"/>
  <c r="I208" i="16"/>
  <c r="H208" i="16"/>
  <c r="J208" i="16"/>
  <c r="D208" i="16"/>
  <c r="E208" i="16"/>
  <c r="G147" i="16"/>
  <c r="I147" i="16"/>
  <c r="E147" i="16"/>
  <c r="H147" i="16"/>
  <c r="J147" i="16"/>
  <c r="F147" i="16"/>
  <c r="D147" i="16"/>
  <c r="J205" i="16"/>
  <c r="D205" i="16"/>
  <c r="F205" i="16"/>
  <c r="I205" i="16"/>
  <c r="H205" i="16"/>
  <c r="E205" i="16"/>
  <c r="E85" i="16"/>
  <c r="F85" i="16"/>
  <c r="H85" i="16"/>
  <c r="J85" i="16"/>
  <c r="D85" i="16"/>
  <c r="I85" i="16"/>
  <c r="I26" i="16"/>
  <c r="J26" i="16"/>
  <c r="E26" i="16"/>
  <c r="F26" i="16"/>
  <c r="D26" i="16"/>
  <c r="H26" i="16"/>
  <c r="J217" i="16"/>
  <c r="E217" i="16"/>
  <c r="I217" i="16"/>
  <c r="F217" i="16"/>
  <c r="H217" i="16"/>
  <c r="D217" i="16"/>
  <c r="J218" i="16"/>
  <c r="F218" i="16"/>
  <c r="E218" i="16"/>
  <c r="H218" i="16"/>
  <c r="I218" i="16"/>
  <c r="D218" i="16"/>
  <c r="E149" i="16"/>
  <c r="D149" i="16"/>
  <c r="H149" i="16"/>
  <c r="F149" i="16"/>
  <c r="I149" i="16"/>
  <c r="J149" i="16"/>
  <c r="E224" i="16"/>
  <c r="I224" i="16"/>
  <c r="D224" i="16"/>
  <c r="J224" i="16"/>
  <c r="F224" i="16"/>
  <c r="H224" i="16"/>
  <c r="H225" i="16"/>
  <c r="E225" i="16"/>
  <c r="I225" i="16"/>
  <c r="D225" i="16"/>
  <c r="J225" i="16"/>
  <c r="F225" i="16"/>
  <c r="G226" i="16"/>
  <c r="D252" i="16"/>
  <c r="H252" i="16"/>
  <c r="I252" i="16"/>
  <c r="F252" i="16"/>
  <c r="J252" i="16"/>
  <c r="E252" i="16"/>
  <c r="I231" i="16"/>
  <c r="D231" i="16"/>
  <c r="E231" i="16"/>
  <c r="J231" i="16"/>
  <c r="H231" i="16"/>
  <c r="F231" i="16"/>
  <c r="E42" i="16"/>
  <c r="F42" i="16"/>
  <c r="D42" i="16"/>
  <c r="H42" i="16"/>
  <c r="I42" i="16"/>
  <c r="J42" i="16"/>
  <c r="E43" i="16"/>
  <c r="F43" i="16"/>
  <c r="D43" i="16"/>
  <c r="H43" i="16"/>
  <c r="I43" i="16"/>
  <c r="J43" i="16"/>
  <c r="J235" i="16"/>
  <c r="I235" i="16"/>
  <c r="D235" i="16"/>
  <c r="E235" i="16"/>
  <c r="F235" i="16"/>
  <c r="H235" i="16"/>
  <c r="H102" i="16"/>
  <c r="D102" i="16"/>
  <c r="E102" i="16"/>
  <c r="F102" i="16"/>
  <c r="J102" i="16"/>
  <c r="I102" i="16"/>
  <c r="E112" i="16"/>
  <c r="F112" i="16"/>
  <c r="I112" i="16"/>
  <c r="D112" i="16"/>
  <c r="J112" i="16"/>
  <c r="H112" i="16"/>
  <c r="F177" i="16"/>
  <c r="D177" i="16"/>
  <c r="I177" i="16"/>
  <c r="E177" i="16"/>
  <c r="J177" i="16"/>
  <c r="H177" i="16"/>
  <c r="H52" i="16"/>
  <c r="E52" i="16"/>
  <c r="I52" i="16"/>
  <c r="J52" i="16"/>
  <c r="D52" i="16"/>
  <c r="F52" i="16"/>
  <c r="I47" i="16"/>
  <c r="F47" i="16"/>
  <c r="H47" i="16"/>
  <c r="E47" i="16"/>
  <c r="J47" i="16"/>
  <c r="D47" i="16"/>
  <c r="H65" i="16"/>
  <c r="J65" i="16"/>
  <c r="D65" i="16"/>
  <c r="E65" i="16"/>
  <c r="I65" i="16"/>
  <c r="F65" i="16"/>
  <c r="H144" i="16"/>
  <c r="I144" i="16"/>
  <c r="E144" i="16"/>
  <c r="J144" i="16"/>
  <c r="D144" i="16"/>
  <c r="F144" i="16"/>
  <c r="J153" i="16"/>
  <c r="H153" i="16"/>
  <c r="D153" i="16"/>
  <c r="E153" i="16"/>
  <c r="F153" i="16"/>
  <c r="I153" i="16"/>
  <c r="E161" i="16"/>
  <c r="H161" i="16"/>
  <c r="D161" i="16"/>
  <c r="F161" i="16"/>
  <c r="J161" i="16"/>
  <c r="I161" i="16"/>
  <c r="G167" i="16"/>
  <c r="F167" i="16"/>
  <c r="J167" i="16"/>
  <c r="H167" i="16"/>
  <c r="E167" i="16"/>
  <c r="D167" i="16"/>
  <c r="I167" i="16"/>
  <c r="J48" i="16"/>
  <c r="H48" i="16"/>
  <c r="I48" i="16"/>
  <c r="D48" i="16"/>
  <c r="F48" i="16"/>
  <c r="E48" i="16"/>
  <c r="H54" i="16"/>
  <c r="J54" i="16"/>
  <c r="D54" i="16"/>
  <c r="E54" i="16"/>
  <c r="F54" i="16"/>
  <c r="I54" i="16"/>
  <c r="U257" i="16"/>
  <c r="H259" i="16"/>
  <c r="I259" i="16"/>
  <c r="F259" i="16"/>
  <c r="E259" i="16"/>
  <c r="J259" i="16"/>
  <c r="D259" i="16"/>
  <c r="E9" i="16"/>
  <c r="I9" i="16"/>
  <c r="H9" i="16"/>
  <c r="J9" i="16"/>
  <c r="F9" i="16"/>
  <c r="D9" i="16"/>
  <c r="D200" i="16"/>
  <c r="F200" i="16"/>
  <c r="E200" i="16"/>
  <c r="J200" i="16"/>
  <c r="I200" i="16"/>
  <c r="H200" i="16"/>
  <c r="J37" i="16"/>
  <c r="D37" i="16"/>
  <c r="H37" i="16"/>
  <c r="F37" i="16"/>
  <c r="I37" i="16"/>
  <c r="E37" i="16"/>
  <c r="D184" i="16"/>
  <c r="H184" i="16"/>
  <c r="J184" i="16"/>
  <c r="I184" i="16"/>
  <c r="E184" i="16"/>
  <c r="F184" i="16"/>
  <c r="J82" i="16"/>
  <c r="D82" i="16"/>
  <c r="E82" i="16"/>
  <c r="H82" i="16"/>
  <c r="I82" i="16"/>
  <c r="F82" i="16"/>
  <c r="H146" i="16"/>
  <c r="F146" i="16"/>
  <c r="E146" i="16"/>
  <c r="J146" i="16"/>
  <c r="I146" i="16"/>
  <c r="D146" i="16"/>
  <c r="I122" i="16"/>
  <c r="D122" i="16"/>
  <c r="E122" i="16"/>
  <c r="H122" i="16"/>
  <c r="F122" i="16"/>
  <c r="J122" i="16"/>
  <c r="G245" i="16"/>
  <c r="D245" i="16"/>
  <c r="J245" i="16"/>
  <c r="H245" i="16"/>
  <c r="F245" i="16"/>
  <c r="I245" i="16"/>
  <c r="E245" i="16"/>
  <c r="D151" i="16"/>
  <c r="J151" i="16"/>
  <c r="H151" i="16"/>
  <c r="F151" i="16"/>
  <c r="E151" i="16"/>
  <c r="I151" i="16"/>
  <c r="J25" i="16"/>
  <c r="D25" i="16"/>
  <c r="F25" i="16"/>
  <c r="E25" i="16"/>
  <c r="H25" i="16"/>
  <c r="I25" i="16"/>
  <c r="I216" i="16"/>
  <c r="F216" i="16"/>
  <c r="H216" i="16"/>
  <c r="J216" i="16"/>
  <c r="D216" i="16"/>
  <c r="E216" i="16"/>
  <c r="H155" i="16"/>
  <c r="D155" i="16"/>
  <c r="I155" i="16"/>
  <c r="F155" i="16"/>
  <c r="J155" i="16"/>
  <c r="E155" i="16"/>
  <c r="E23" i="16"/>
  <c r="H23" i="16"/>
  <c r="J23" i="16"/>
  <c r="D23" i="16"/>
  <c r="F23" i="16"/>
  <c r="I23" i="16"/>
  <c r="D55" i="16"/>
  <c r="E55" i="16"/>
  <c r="F55" i="16"/>
  <c r="I55" i="16"/>
  <c r="J55" i="16"/>
  <c r="H55" i="16"/>
  <c r="E221" i="16"/>
  <c r="F221" i="16"/>
  <c r="H221" i="16"/>
  <c r="D221" i="16"/>
  <c r="J221" i="16"/>
  <c r="I221" i="16"/>
  <c r="G220" i="16"/>
  <c r="J220" i="16"/>
  <c r="D220" i="16"/>
  <c r="I220" i="16"/>
  <c r="H220" i="16"/>
  <c r="F220" i="16"/>
  <c r="E220" i="16"/>
  <c r="I40" i="16"/>
  <c r="J40" i="16"/>
  <c r="F40" i="16"/>
  <c r="D40" i="16"/>
  <c r="H40" i="16"/>
  <c r="E40" i="16"/>
  <c r="F232" i="16"/>
  <c r="J232" i="16"/>
  <c r="E232" i="16"/>
  <c r="D232" i="16"/>
  <c r="I232" i="16"/>
  <c r="H232" i="16"/>
  <c r="H233" i="16"/>
  <c r="F233" i="16"/>
  <c r="J233" i="16"/>
  <c r="E233" i="16"/>
  <c r="D233" i="16"/>
  <c r="I233" i="16"/>
  <c r="I234" i="16"/>
  <c r="J234" i="16"/>
  <c r="E234" i="16"/>
  <c r="D234" i="16"/>
  <c r="H234" i="16"/>
  <c r="F234" i="16"/>
  <c r="J165" i="16"/>
  <c r="G165" i="16"/>
  <c r="H165" i="16"/>
  <c r="I165" i="16"/>
  <c r="D165" i="16"/>
  <c r="F165" i="16"/>
  <c r="E165" i="16"/>
  <c r="D181" i="16"/>
  <c r="F181" i="16"/>
  <c r="I181" i="16"/>
  <c r="H181" i="16"/>
  <c r="E181" i="16"/>
  <c r="J181" i="16"/>
  <c r="G50" i="16"/>
  <c r="D51" i="16"/>
  <c r="I51" i="16"/>
  <c r="E51" i="16"/>
  <c r="F51" i="16"/>
  <c r="H51" i="16"/>
  <c r="J51" i="16"/>
  <c r="G242" i="16"/>
  <c r="D242" i="16"/>
  <c r="J242" i="16"/>
  <c r="I242" i="16"/>
  <c r="F242" i="16"/>
  <c r="H242" i="16"/>
  <c r="E242" i="16"/>
  <c r="H183" i="16"/>
  <c r="F183" i="16"/>
  <c r="J183" i="16"/>
  <c r="E183" i="16"/>
  <c r="D183" i="16"/>
  <c r="I183" i="16"/>
  <c r="E67" i="16"/>
  <c r="F67" i="16"/>
  <c r="J67" i="16"/>
  <c r="I67" i="16"/>
  <c r="D67" i="16"/>
  <c r="H67" i="16"/>
  <c r="G209" i="16"/>
  <c r="E209" i="16"/>
  <c r="F209" i="16"/>
  <c r="H209" i="16"/>
  <c r="I209" i="16"/>
  <c r="D209" i="16"/>
  <c r="J209" i="16"/>
  <c r="H94" i="16"/>
  <c r="I94" i="16"/>
  <c r="F94" i="16"/>
  <c r="E94" i="16"/>
  <c r="D94" i="16"/>
  <c r="J94" i="16"/>
  <c r="E171" i="16"/>
  <c r="D171" i="16"/>
  <c r="J171" i="16"/>
  <c r="F171" i="16"/>
  <c r="H171" i="16"/>
  <c r="I171" i="16"/>
  <c r="D239" i="16"/>
  <c r="I239" i="16"/>
  <c r="F239" i="16"/>
  <c r="H239" i="16"/>
  <c r="J239" i="16"/>
  <c r="E239" i="16"/>
  <c r="F194" i="16"/>
  <c r="I194" i="16"/>
  <c r="J194" i="16"/>
  <c r="H194" i="16"/>
  <c r="D194" i="16"/>
  <c r="E194" i="16"/>
  <c r="E5" i="16"/>
  <c r="J5" i="16"/>
  <c r="I5" i="16"/>
  <c r="H5" i="16"/>
  <c r="D5" i="16"/>
  <c r="F5" i="16"/>
  <c r="G199" i="16"/>
  <c r="D199" i="16"/>
  <c r="J199" i="16"/>
  <c r="I199" i="16"/>
  <c r="F199" i="16"/>
  <c r="H199" i="16"/>
  <c r="E199" i="16"/>
  <c r="F74" i="16"/>
  <c r="I74" i="16"/>
  <c r="H74" i="16"/>
  <c r="J74" i="16"/>
  <c r="E74" i="16"/>
  <c r="D74" i="16"/>
  <c r="G138" i="16"/>
  <c r="G203" i="16"/>
  <c r="D6" i="16"/>
  <c r="E6" i="16"/>
  <c r="F6" i="16"/>
  <c r="J6" i="16"/>
  <c r="I6" i="16"/>
  <c r="H6" i="16"/>
  <c r="D61" i="16"/>
  <c r="E61" i="16"/>
  <c r="J61" i="16"/>
  <c r="I61" i="16"/>
  <c r="H61" i="16"/>
  <c r="F61" i="16"/>
  <c r="J187" i="16"/>
  <c r="D187" i="16"/>
  <c r="I187" i="16"/>
  <c r="H187" i="16"/>
  <c r="F187" i="16"/>
  <c r="E187" i="16"/>
  <c r="E80" i="16"/>
  <c r="I80" i="16"/>
  <c r="F80" i="16"/>
  <c r="D80" i="16"/>
  <c r="H80" i="16"/>
  <c r="J80" i="16"/>
  <c r="E81" i="16"/>
  <c r="D81" i="16"/>
  <c r="H81" i="16"/>
  <c r="F81" i="16"/>
  <c r="I81" i="16"/>
  <c r="J81" i="16"/>
  <c r="G145" i="16"/>
  <c r="D14" i="16"/>
  <c r="H14" i="16"/>
  <c r="E14" i="16"/>
  <c r="J14" i="16"/>
  <c r="I14" i="16"/>
  <c r="F14" i="16"/>
  <c r="E101" i="16"/>
  <c r="H101" i="16"/>
  <c r="D101" i="16"/>
  <c r="F101" i="16"/>
  <c r="J101" i="16"/>
  <c r="I101" i="16"/>
  <c r="D125" i="16"/>
  <c r="H125" i="16"/>
  <c r="J125" i="16"/>
  <c r="I125" i="16"/>
  <c r="E125" i="16"/>
  <c r="F125" i="16"/>
  <c r="G215" i="16"/>
  <c r="F215" i="16"/>
  <c r="J215" i="16"/>
  <c r="D215" i="16"/>
  <c r="I215" i="16"/>
  <c r="H215" i="16"/>
  <c r="E215" i="16"/>
  <c r="G90" i="16"/>
  <c r="I91" i="16"/>
  <c r="E91" i="16"/>
  <c r="D91" i="16"/>
  <c r="J91" i="16"/>
  <c r="H91" i="16"/>
  <c r="F91" i="16"/>
  <c r="E22" i="16"/>
  <c r="J22" i="16"/>
  <c r="I22" i="16"/>
  <c r="H22" i="16"/>
  <c r="F22" i="16"/>
  <c r="D22" i="16"/>
  <c r="G213" i="16"/>
  <c r="I172" i="16"/>
  <c r="E172" i="16"/>
  <c r="F172" i="16"/>
  <c r="J172" i="16"/>
  <c r="D172" i="16"/>
  <c r="H172" i="16"/>
  <c r="E140" i="16"/>
  <c r="F140" i="16"/>
  <c r="J140" i="16"/>
  <c r="H140" i="16"/>
  <c r="D140" i="16"/>
  <c r="I140" i="16"/>
  <c r="F121" i="16"/>
  <c r="J121" i="16"/>
  <c r="I121" i="16"/>
  <c r="H121" i="16"/>
  <c r="E121" i="16"/>
  <c r="D121" i="16"/>
  <c r="D159" i="16"/>
  <c r="E159" i="16"/>
  <c r="F159" i="16"/>
  <c r="J159" i="16"/>
  <c r="I159" i="16"/>
  <c r="H159" i="16"/>
  <c r="E33" i="16"/>
  <c r="D33" i="16"/>
  <c r="I33" i="16"/>
  <c r="J33" i="16"/>
  <c r="H33" i="16"/>
  <c r="F33" i="16"/>
  <c r="F98" i="16"/>
  <c r="I98" i="16"/>
  <c r="J98" i="16"/>
  <c r="E98" i="16"/>
  <c r="D98" i="16"/>
  <c r="H98" i="16"/>
  <c r="F99" i="16"/>
  <c r="I99" i="16"/>
  <c r="D99" i="16"/>
  <c r="E99" i="16"/>
  <c r="J99" i="16"/>
  <c r="H99" i="16"/>
  <c r="D100" i="16"/>
  <c r="H100" i="16"/>
  <c r="I100" i="16"/>
  <c r="F100" i="16"/>
  <c r="J100" i="16"/>
  <c r="E100" i="16"/>
  <c r="G227" i="16"/>
  <c r="D30" i="16"/>
  <c r="I30" i="16"/>
  <c r="E30" i="16"/>
  <c r="J30" i="16"/>
  <c r="H30" i="16"/>
  <c r="F30" i="16"/>
  <c r="U228" i="16"/>
  <c r="G236" i="16"/>
  <c r="I236" i="16"/>
  <c r="E236" i="16"/>
  <c r="H236" i="16"/>
  <c r="J236" i="16"/>
  <c r="D236" i="16"/>
  <c r="F236" i="16"/>
  <c r="G204" i="16"/>
  <c r="G249" i="16"/>
  <c r="J251" i="16"/>
  <c r="I251" i="16"/>
  <c r="H251" i="16"/>
  <c r="F251" i="16"/>
  <c r="D251" i="16"/>
  <c r="E251" i="16"/>
  <c r="G106" i="16"/>
  <c r="G107" i="16"/>
  <c r="D108" i="16"/>
  <c r="I108" i="16"/>
  <c r="J108" i="16"/>
  <c r="H108" i="16"/>
  <c r="F108" i="16"/>
  <c r="E108" i="16"/>
  <c r="G229" i="16"/>
  <c r="D229" i="16"/>
  <c r="J229" i="16"/>
  <c r="E229" i="16"/>
  <c r="I229" i="16"/>
  <c r="H229" i="16"/>
  <c r="F229" i="16"/>
  <c r="G175" i="16"/>
  <c r="J176" i="16"/>
  <c r="E176" i="16"/>
  <c r="H176" i="16"/>
  <c r="D176" i="16"/>
  <c r="F176" i="16"/>
  <c r="I176" i="16"/>
  <c r="G241" i="16"/>
  <c r="H116" i="16"/>
  <c r="E116" i="16"/>
  <c r="F116" i="16"/>
  <c r="J116" i="16"/>
  <c r="D116" i="16"/>
  <c r="I116" i="16"/>
  <c r="F173" i="16"/>
  <c r="J173" i="16"/>
  <c r="D173" i="16"/>
  <c r="I173" i="16"/>
  <c r="E173" i="16"/>
  <c r="H173" i="16"/>
  <c r="G56" i="16"/>
  <c r="G247" i="16"/>
  <c r="G59" i="16"/>
  <c r="D56" i="10"/>
  <c r="C56" i="10"/>
  <c r="D54" i="10"/>
  <c r="C54" i="10"/>
  <c r="C53" i="10"/>
  <c r="D53" i="10"/>
  <c r="C59" i="10"/>
  <c r="D59" i="10"/>
  <c r="D55" i="10"/>
  <c r="C55" i="10"/>
  <c r="D50" i="10"/>
  <c r="C50" i="10"/>
  <c r="D60" i="10"/>
  <c r="C60" i="10"/>
  <c r="C57" i="10"/>
  <c r="D57" i="10"/>
  <c r="C58" i="10"/>
  <c r="D58" i="10"/>
  <c r="F52" i="10"/>
  <c r="H52" i="10" s="1"/>
  <c r="H51" i="10"/>
  <c r="U214" i="16" l="1"/>
  <c r="U195" i="16"/>
  <c r="U76" i="16"/>
  <c r="U150" i="16"/>
  <c r="U230" i="16"/>
  <c r="U236" i="16"/>
  <c r="U221" i="16"/>
  <c r="U51" i="16"/>
  <c r="U217" i="16"/>
  <c r="U147" i="16"/>
  <c r="U179" i="16"/>
  <c r="U83" i="16"/>
  <c r="U148" i="16"/>
  <c r="U56" i="16"/>
  <c r="U114" i="16"/>
  <c r="U193" i="16"/>
  <c r="U25" i="16"/>
  <c r="U48" i="16"/>
  <c r="U145" i="16"/>
  <c r="U28" i="16"/>
  <c r="U12" i="16"/>
  <c r="U30" i="16"/>
  <c r="U251" i="16"/>
  <c r="U62" i="16"/>
  <c r="U84" i="16"/>
  <c r="U140" i="16"/>
  <c r="U220" i="16"/>
  <c r="U243" i="16"/>
  <c r="U108" i="16"/>
  <c r="U215" i="16"/>
  <c r="U85" i="16"/>
  <c r="U250" i="16"/>
  <c r="U123" i="16"/>
  <c r="U74" i="16"/>
  <c r="U233" i="16"/>
  <c r="U21" i="16"/>
  <c r="U10" i="16"/>
  <c r="U111" i="16"/>
  <c r="U32" i="16"/>
  <c r="U156" i="16"/>
  <c r="U91" i="16"/>
  <c r="U65" i="16"/>
  <c r="U208" i="16"/>
  <c r="U128" i="16"/>
  <c r="U73" i="16"/>
  <c r="U143" i="16"/>
  <c r="U191" i="16"/>
  <c r="U171" i="16"/>
  <c r="U234" i="16"/>
  <c r="U75" i="16"/>
  <c r="U36" i="16"/>
  <c r="U92" i="16"/>
  <c r="U97" i="16"/>
  <c r="U77" i="16"/>
  <c r="U19" i="16"/>
  <c r="U116" i="16"/>
  <c r="U93" i="16"/>
  <c r="U131" i="16"/>
  <c r="U244" i="16"/>
  <c r="U229" i="16"/>
  <c r="U232" i="16"/>
  <c r="U167" i="16"/>
  <c r="U135" i="16"/>
  <c r="U29" i="16"/>
  <c r="U129" i="16"/>
  <c r="U166" i="16"/>
  <c r="U86" i="16"/>
  <c r="U120" i="16"/>
  <c r="U248" i="16"/>
  <c r="U240" i="16"/>
  <c r="U70" i="16"/>
  <c r="U249" i="16"/>
  <c r="U213" i="16"/>
  <c r="U117" i="16"/>
  <c r="U106" i="16"/>
  <c r="U199" i="16"/>
  <c r="U242" i="16"/>
  <c r="U259" i="16"/>
  <c r="U177" i="16"/>
  <c r="U224" i="16"/>
  <c r="U53" i="16"/>
  <c r="U81" i="16"/>
  <c r="U209" i="16"/>
  <c r="U43" i="16"/>
  <c r="U225" i="16"/>
  <c r="U205" i="16"/>
  <c r="U201" i="16"/>
  <c r="U35" i="16"/>
  <c r="U164" i="16"/>
  <c r="U100" i="16"/>
  <c r="U178" i="16"/>
  <c r="U258" i="16"/>
  <c r="U69" i="16"/>
  <c r="U180" i="16"/>
  <c r="U109" i="16"/>
  <c r="U33" i="16"/>
  <c r="U121" i="16"/>
  <c r="U101" i="16"/>
  <c r="U14" i="16"/>
  <c r="U245" i="16"/>
  <c r="U146" i="16"/>
  <c r="U207" i="16"/>
  <c r="U254" i="16"/>
  <c r="U59" i="16"/>
  <c r="U203" i="16"/>
  <c r="U154" i="16"/>
  <c r="U161" i="16"/>
  <c r="U41" i="16"/>
  <c r="U212" i="16"/>
  <c r="U197" i="16"/>
  <c r="U189" i="16"/>
  <c r="U45" i="16"/>
  <c r="U127" i="16"/>
  <c r="U126" i="16"/>
  <c r="U219" i="16"/>
  <c r="U239" i="16"/>
  <c r="U16" i="16"/>
  <c r="U13" i="16"/>
  <c r="U64" i="16"/>
  <c r="U49" i="16"/>
  <c r="U119" i="16"/>
  <c r="U80" i="16"/>
  <c r="U187" i="16"/>
  <c r="U184" i="16"/>
  <c r="U252" i="16"/>
  <c r="U139" i="16"/>
  <c r="U110" i="16"/>
  <c r="U255" i="16"/>
  <c r="U173" i="16"/>
  <c r="U99" i="16"/>
  <c r="U22" i="16"/>
  <c r="U183" i="16"/>
  <c r="U181" i="16"/>
  <c r="U216" i="16"/>
  <c r="U151" i="16"/>
  <c r="U82" i="16"/>
  <c r="U37" i="16"/>
  <c r="U112" i="16"/>
  <c r="U102" i="16"/>
  <c r="U231" i="16"/>
  <c r="U26" i="16"/>
  <c r="U34" i="16"/>
  <c r="U96" i="16"/>
  <c r="U18" i="16"/>
  <c r="U38" i="16"/>
  <c r="U88" i="16"/>
  <c r="U89" i="16"/>
  <c r="U24" i="16"/>
  <c r="U78" i="16"/>
  <c r="U68" i="16"/>
  <c r="U125" i="16"/>
  <c r="U144" i="16"/>
  <c r="U42" i="16"/>
  <c r="U149" i="16"/>
  <c r="U174" i="16"/>
  <c r="U44" i="16"/>
  <c r="U188" i="16"/>
  <c r="U17" i="16"/>
  <c r="U186" i="16"/>
  <c r="U136" i="16"/>
  <c r="U256" i="16"/>
  <c r="U210" i="16"/>
  <c r="U241" i="16"/>
  <c r="U137" i="16"/>
  <c r="U172" i="16"/>
  <c r="U67" i="16"/>
  <c r="U55" i="16"/>
  <c r="U132" i="16"/>
  <c r="U202" i="16"/>
  <c r="U138" i="16"/>
  <c r="U61" i="16"/>
  <c r="U194" i="16"/>
  <c r="U165" i="16"/>
  <c r="U200" i="16"/>
  <c r="U52" i="16"/>
  <c r="U218" i="16"/>
  <c r="U113" i="16"/>
  <c r="U162" i="16"/>
  <c r="U46" i="16"/>
  <c r="U152" i="16"/>
  <c r="U11" i="16"/>
  <c r="U133" i="16"/>
  <c r="U115" i="16"/>
  <c r="U58" i="16"/>
  <c r="U8" i="16"/>
  <c r="U247" i="16"/>
  <c r="U107" i="16"/>
  <c r="U227" i="16"/>
  <c r="U176" i="16"/>
  <c r="U98" i="16"/>
  <c r="U159" i="16"/>
  <c r="U6" i="16"/>
  <c r="U40" i="16"/>
  <c r="U122" i="16"/>
  <c r="U9" i="16"/>
  <c r="U54" i="16"/>
  <c r="U47" i="16"/>
  <c r="U124" i="16"/>
  <c r="U31" i="16"/>
  <c r="U72" i="16"/>
  <c r="U57" i="16"/>
  <c r="U141" i="16"/>
  <c r="U104" i="16"/>
  <c r="U237" i="16"/>
  <c r="U50" i="16"/>
  <c r="U175" i="16"/>
  <c r="U90" i="16"/>
  <c r="U211" i="16"/>
  <c r="U5" i="16"/>
  <c r="U94" i="16"/>
  <c r="U23" i="16"/>
  <c r="U155" i="16"/>
  <c r="U153" i="16"/>
  <c r="U235" i="16"/>
  <c r="U66" i="16"/>
  <c r="U118" i="16"/>
  <c r="U226" i="16"/>
  <c r="U27" i="16"/>
  <c r="U60" i="16"/>
  <c r="U253" i="16"/>
  <c r="U170" i="16"/>
  <c r="U169" i="16"/>
  <c r="U157" i="16"/>
  <c r="U185" i="16"/>
  <c r="U192" i="16"/>
  <c r="U204" i="16"/>
  <c r="U223" i="16"/>
  <c r="U20" i="16"/>
  <c r="U196" i="16"/>
  <c r="U198" i="16"/>
  <c r="D51" i="10"/>
  <c r="C51" i="10"/>
  <c r="D52" i="10"/>
  <c r="C52" i="10"/>
  <c r="G66" i="10" l="1"/>
  <c r="H66" i="10" s="1"/>
  <c r="H67" i="10" s="1"/>
  <c r="D2" i="10" s="1"/>
  <c r="I3" i="4" s="1"/>
  <c r="B88" i="4" s="1"/>
  <c r="F3" i="4" l="1"/>
</calcChain>
</file>

<file path=xl/comments1.xml><?xml version="1.0" encoding="utf-8"?>
<comments xmlns="http://schemas.openxmlformats.org/spreadsheetml/2006/main">
  <authors>
    <author>a64a</author>
    <author>Connors, Jared M</author>
    <author>Hillary Amster</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10"/>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Şirketinizin Beyan Kapsamını seçin.  Kapsam seçenekleri aşağıdaki gibidir: A.  Şirket Geneli; B.  Ürün (veya Ürün Listesi); C.  Kullanıcı Tanımlı
</t>
        </r>
      </text>
    </comment>
    <comment ref="P9" authorId="0" shapeId="0">
      <text>
        <r>
          <rPr>
            <sz val="9"/>
            <color indexed="81"/>
            <rFont val="ＭＳ Ｐゴシック"/>
            <family val="3"/>
            <charset val="128"/>
          </rPr>
          <t>list for Validation in D9</t>
        </r>
      </text>
    </comment>
    <comment ref="B16" authorId="1" shapeId="0">
      <text>
        <r>
          <rPr>
            <sz val="12"/>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İrtibat kişisi için buraya geçerli bir e-posta adresi girin
</t>
        </r>
      </text>
    </comment>
    <comment ref="B20" authorId="1" shapeId="0">
      <text>
        <r>
          <rPr>
            <sz val="12"/>
            <color indexed="81"/>
            <rFont val="Tahoma"/>
            <family val="2"/>
          </rPr>
          <t>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t>
        </r>
        <r>
          <rPr>
            <sz val="9"/>
            <color indexed="81"/>
            <rFont val="Tahoma"/>
            <family val="2"/>
          </rPr>
          <t xml:space="preserve">
</t>
        </r>
        <r>
          <rPr>
            <sz val="12"/>
            <color indexed="81"/>
            <rFont val="Tahoma"/>
            <family val="2"/>
          </rPr>
          <t>İzin yetkilisi için buraya geçerli bir e-posta adresi girin</t>
        </r>
      </text>
    </comment>
    <comment ref="B22" authorId="1" shapeId="0">
      <text>
        <r>
          <rPr>
            <sz val="12"/>
            <color indexed="81"/>
            <rFont val="Arial"/>
            <family val="2"/>
          </rPr>
          <t xml:space="preserve">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
Şirketinizin bu formu doldurduğu tarihi not edin
Tarih uluslararası GG-AAA-YYYY formatında görüntülenmelidir
</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
Açılır menüden "Evet" veya "Hayır" yanıtını seçin</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 xml:space="preserve">From the dropdown choose a response of "Yes" or "No."  Substantiate a "Yes" answer in the comments section.
从下拉列表中选择“是” 或 “不是”  如果回答“是”，请在注释部分提供证明
ドロップダウンメニューから「Yes（はい）」又は「No（いいえ）」を選択してください  「Yes（はい）」と回答した場合は、コメント欄に具体的に記入してください
Yes = 예, No = 아니오  "Yes"라고 대답한 경우 비고란에 구체적으로 기재하십시오
Sélectionner "Yes" (Oui) ou  "No" (Non) dans la liste déroulante.  Justifiez votre réponse affirmative dans la section des commentaires
A partir da lista selecione a resposta: "Sim" ou "Não".  Fundamente uma resposta “Sim” na área de comentários.
Wählen Sie aus der Drop-down Liste eine Antwort: "Ja" oder "Nein." Begründen Sie eine „Ja“-Antwort im Kommentarabschnitt
De las opciones elija la respuesta "Si" o "No." Confirme una respuesta afirmativa en la sección de comentarios
Dalle presente lista, scegliete la risposta: "Si" o "No." Motivare le risposte affermative (“Sì”) nella sezione dei commenti
Açılır menüden "Evet" veya "Hayır" yanıtını seçin.  Verilen bir “Evet” yanıtının gerekçelerini Yorumlar bölümünde belirtin.
</t>
        </r>
      </text>
    </comment>
    <comment ref="D37" authorId="2" shapeId="0">
      <text>
        <r>
          <rPr>
            <sz val="12"/>
            <color indexed="81"/>
            <rFont val="Tahoma"/>
            <family val="2"/>
          </rPr>
          <t>From the dropdown choose a response of "Yes" or "No."  Substantiate a "Yes" answer in the comments section.
从下拉列表中选择“是” 或 “不是”  如果回答“是”，请在注释部分提供证明
ドロップダウンメニューから「Yes（はい）」又は「No（いいえ）」を選択してください  「Yes（はい）」と回答した場合は、コメント欄に具体的に記入してください
Yes = 예, No = 아니오  "Yes"라고 대답한 경우 비고란에 구체적으로 기재하십시오
Sélectionner "Yes" (Oui) ou  "No" (Non) dans la liste déroulante.  Justifiez votre réponse affirmative dans la section des commentaires
A partir da lista selecione a resposta: "Sim" ou "Não".  Fundamente uma resposta “Sim” na área de comentários.
Wählen Sie aus der Drop-down Liste eine Antwort: "Ja" oder "Nein." Begründen Sie eine „Ja“-Antwort im Kommentarabschnitt
De las opciones elija la respuesta "Si" o "No." Confirme una respuesta afirmativa en la sección de comentarios
Dalle presente lista, scegliete la risposta: "Si" o "No." Motivare le risposte affermative (“Sì”) nella sezione dei commenti
Açılır menüden "Evet" veya "Hayır" yanıtını seçin.  Verilen bir “Evet” yanıtının gerekçelerini Yorumlar bölümünde belirtin.</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
Açılır menüden "Evet", "Hayır" veya "Bilinmiyor" yanıtını seçin</t>
        </r>
      </text>
    </comment>
    <comment ref="D49" authorId="3" shapeId="0">
      <text>
        <r>
          <rPr>
            <sz val="12"/>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
Açılır menüden aşağıdaki yanıtlardan birini seçin: “Evet, %100”; “Hayır, ancak %75'ten fazla”; “Hayır, ancak %50'den fazla”; “Hayır, ancak %25'ten fazla”; “Hayır, ancak %25'ten az” veya “Hiçbiri”</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
Açılır menüden "Evet" veya "Hayır" yanıtını seçin</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
Açılır menüden "Evet" veya "Hayır" yanıtını seçin</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
Açılır menüden "Evet" veya "Hayır" yanıtını seçin</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List>
</comments>
</file>

<file path=xl/sharedStrings.xml><?xml version="1.0" encoding="utf-8"?>
<sst xmlns="http://schemas.openxmlformats.org/spreadsheetml/2006/main" count="9101" uniqueCount="4998">
  <si>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</si>
  <si>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</si>
  <si>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</si>
  <si>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</si>
  <si>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</si>
  <si>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</si>
  <si>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</si>
  <si>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</si>
  <si>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</si>
  <si>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</si>
  <si>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</si>
  <si>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</si>
  <si>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</si>
  <si>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</si>
  <si>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</si>
  <si>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</si>
  <si>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</si>
  <si>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</si>
  <si>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</si>
  <si>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</si>
  <si>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</si>
  <si>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</si>
  <si>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</si>
  <si>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</si>
  <si>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</si>
  <si>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</si>
  <si>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</si>
  <si>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</si>
  <si>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</si>
  <si>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</si>
  <si>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</si>
  <si>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</si>
  <si>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</si>
  <si>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</si>
  <si>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</si>
  <si>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</si>
  <si>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</si>
  <si>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</si>
  <si>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</si>
  <si>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</si>
  <si>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</si>
  <si>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</si>
  <si>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</si>
  <si>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</si>
  <si>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</si>
  <si>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</si>
  <si>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</si>
  <si>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</si>
  <si>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</si>
  <si>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</si>
  <si>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</si>
  <si>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</si>
  <si>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</si>
  <si>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</si>
  <si>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</si>
  <si>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</si>
  <si>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</si>
  <si>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</si>
  <si>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</si>
  <si>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</si>
  <si>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</si>
  <si>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</si>
  <si>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</si>
  <si>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</si>
  <si>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</si>
  <si>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</si>
  <si>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</si>
  <si>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</si>
  <si>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</si>
  <si>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</si>
  <si>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</si>
  <si>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</si>
  <si>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</si>
  <si>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</si>
  <si>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</si>
  <si>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</si>
  <si>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</si>
  <si>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</si>
  <si>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</si>
  <si>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</si>
  <si>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</si>
  <si>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</si>
  <si>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</si>
  <si>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</si>
  <si>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</si>
  <si>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</si>
  <si>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</si>
  <si>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</si>
  <si>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</si>
  <si>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</si>
  <si>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</si>
  <si>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</si>
  <si>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</si>
  <si>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</si>
  <si>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</si>
  <si>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</si>
  <si>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</si>
  <si>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</si>
  <si>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</si>
  <si>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</si>
  <si>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</si>
  <si>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</si>
  <si>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</si>
  <si>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</si>
  <si>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</si>
  <si>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</si>
  <si>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</si>
  <si>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</si>
  <si>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</si>
  <si>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</si>
  <si>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</si>
  <si>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</si>
  <si>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</si>
  <si>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</si>
  <si>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</si>
  <si>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</si>
  <si>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</si>
  <si>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</si>
  <si>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</si>
  <si>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</si>
  <si>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</si>
  <si>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</si>
  <si>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</si>
  <si>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</si>
  <si>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</si>
  <si>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</si>
  <si>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</si>
  <si>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</si>
  <si>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</si>
  <si>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</si>
  <si>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</si>
  <si>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</si>
  <si>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</si>
  <si>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</si>
  <si>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</si>
  <si>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</si>
  <si>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</si>
  <si>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</si>
  <si>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</si>
  <si>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</si>
  <si>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</si>
  <si>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</si>
  <si>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</si>
  <si>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</si>
  <si>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</si>
  <si>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</si>
  <si>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</si>
  <si>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</si>
  <si>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</si>
  <si>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</si>
  <si>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</si>
  <si>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</si>
  <si>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</si>
  <si>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</si>
  <si>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</si>
  <si>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</si>
  <si>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</si>
  <si>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</si>
  <si>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</si>
  <si>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</si>
  <si>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</si>
  <si>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</si>
  <si>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</si>
  <si>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</si>
  <si>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</si>
  <si>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</si>
  <si>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</si>
  <si>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</si>
  <si>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</si>
  <si>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</si>
  <si>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</si>
  <si>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</si>
  <si>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</si>
  <si>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</si>
  <si>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</si>
  <si>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</si>
  <si>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</si>
  <si>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</si>
  <si>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</si>
  <si>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</si>
  <si>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</si>
  <si>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</si>
  <si>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</si>
  <si>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</si>
  <si>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</si>
  <si>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</si>
  <si>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</si>
  <si>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</si>
  <si>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</si>
  <si>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</si>
  <si>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</si>
  <si>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</si>
  <si>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</si>
  <si>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</si>
  <si>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</si>
  <si>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</si>
  <si>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</si>
  <si>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</si>
  <si>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</si>
  <si>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</si>
  <si>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</si>
  <si>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</si>
  <si>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</si>
  <si>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</si>
  <si>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</si>
  <si>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</si>
  <si>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</si>
  <si>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</si>
  <si>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</si>
  <si>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</si>
  <si>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</si>
  <si>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</si>
  <si>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</si>
  <si>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</si>
  <si>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</si>
  <si>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</si>
  <si>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</si>
  <si>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</si>
  <si>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</si>
  <si>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</si>
  <si>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</si>
  <si>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</si>
  <si>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</si>
  <si>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</si>
  <si>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</si>
  <si>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</si>
  <si>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</si>
  <si>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</si>
  <si>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</si>
  <si>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</si>
  <si>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</si>
  <si>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</si>
  <si>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</si>
  <si>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</si>
  <si>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</si>
  <si>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</si>
  <si>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</si>
  <si>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</si>
  <si>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</si>
  <si>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</si>
  <si>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</si>
  <si>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</si>
  <si>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</si>
  <si>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</si>
  <si>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</si>
  <si>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</si>
  <si>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</si>
  <si>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</si>
  <si>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</si>
  <si>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</si>
  <si>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</si>
  <si>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</si>
  <si>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</si>
  <si>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</si>
  <si>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</si>
  <si>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</si>
  <si>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</si>
  <si>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</si>
  <si>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</si>
  <si>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</si>
  <si>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</si>
  <si>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</si>
  <si>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</si>
  <si>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</si>
  <si>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</si>
  <si>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</si>
  <si>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</si>
  <si>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</si>
  <si>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</si>
  <si>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</si>
  <si>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</si>
  <si>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</si>
  <si>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</si>
  <si>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</si>
  <si>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</si>
  <si>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</si>
  <si>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</si>
  <si>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</si>
  <si>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</si>
  <si>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</si>
  <si>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</si>
  <si>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</si>
  <si>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</si>
  <si>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</si>
  <si>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</si>
  <si>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</si>
  <si>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</si>
  <si>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</si>
  <si>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</si>
  <si>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</si>
  <si>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</si>
  <si>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</si>
  <si>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</si>
  <si>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</si>
  <si>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</si>
  <si>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</si>
  <si>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</si>
  <si>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</si>
  <si>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</si>
  <si>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</si>
  <si>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</si>
  <si>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</si>
  <si>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</si>
  <si>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</si>
  <si>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</si>
  <si>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</si>
  <si>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</si>
  <si>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</si>
  <si>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</si>
  <si>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</si>
  <si>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</si>
  <si>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</si>
  <si>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</si>
  <si>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</si>
  <si>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</si>
  <si>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</si>
  <si>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</si>
  <si>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</si>
  <si>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</si>
  <si>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</si>
  <si>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</si>
  <si>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</si>
  <si>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</si>
  <si>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</si>
  <si>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</si>
  <si>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</si>
  <si>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</si>
  <si>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</si>
  <si>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</si>
  <si>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</si>
  <si>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</si>
  <si>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</si>
  <si>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</si>
  <si>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</si>
  <si>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</si>
  <si>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</si>
  <si>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</si>
  <si>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</si>
  <si>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</si>
  <si>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</si>
  <si>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</si>
  <si>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</si>
  <si>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</si>
  <si>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</si>
  <si>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</si>
  <si>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</si>
  <si>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</si>
  <si>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</si>
  <si>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</si>
  <si>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</si>
  <si>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</si>
  <si>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</si>
  <si>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</si>
  <si>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</si>
  <si>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</si>
  <si>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</si>
  <si>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</si>
  <si>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</si>
  <si>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</si>
  <si>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</si>
  <si>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</si>
  <si>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</si>
  <si>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</si>
  <si>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</si>
  <si>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</si>
  <si>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</si>
  <si>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</si>
  <si>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</si>
  <si>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</si>
  <si>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</si>
  <si>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</si>
  <si>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</si>
  <si>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</si>
  <si>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</si>
  <si>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</si>
  <si>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</si>
  <si>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</si>
  <si>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</si>
  <si>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</si>
  <si>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</si>
  <si>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</si>
  <si>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</si>
  <si>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</si>
  <si>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</si>
  <si>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</si>
  <si>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</si>
  <si>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</si>
  <si>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</si>
  <si>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</si>
  <si>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</si>
  <si>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</si>
  <si>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</si>
  <si>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</si>
  <si>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</si>
  <si>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</si>
  <si>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</si>
  <si>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</si>
  <si>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</si>
  <si>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</si>
  <si>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</si>
  <si>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</si>
  <si>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</si>
  <si>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</si>
  <si>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</si>
  <si>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</si>
  <si>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</si>
  <si>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</si>
  <si>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</si>
  <si>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</si>
  <si>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</si>
  <si>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</si>
  <si>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</si>
  <si>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</si>
  <si>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</si>
  <si>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</si>
  <si>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</si>
  <si>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</si>
  <si>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</si>
  <si>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</si>
  <si>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</si>
  <si>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</si>
  <si>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</si>
  <si>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</si>
  <si>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</si>
  <si>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</si>
  <si>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</si>
  <si>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</si>
  <si>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</si>
  <si>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</si>
  <si>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</si>
  <si>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</si>
  <si>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</si>
  <si>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</si>
  <si>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</si>
  <si>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</si>
  <si>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</si>
  <si>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</si>
  <si>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</si>
  <si>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</si>
  <si>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</si>
  <si>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</si>
  <si>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</si>
  <si>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</si>
  <si>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</si>
  <si>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</si>
  <si>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</si>
  <si>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</si>
  <si>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</si>
  <si>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</si>
  <si>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</si>
  <si>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</si>
  <si>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</si>
  <si>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</si>
  <si>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</si>
  <si>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</si>
  <si>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</si>
  <si>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</si>
  <si>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</si>
  <si>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</si>
  <si>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</si>
  <si>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</si>
  <si>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7" type="noConversion"/>
  </si>
  <si>
    <t>冶炼厂出处识别号</t>
    <phoneticPr fontId="7" type="noConversion"/>
  </si>
  <si>
    <t>在提交报告给客户检查本报告红色提示内容前， 请确保所有必填栏目已填写完成。</t>
    <phoneticPr fontId="7" type="noConversion"/>
  </si>
  <si>
    <t>待完成的必填栏目</t>
    <phoneticPr fontId="7" type="noConversion"/>
  </si>
  <si>
    <t>必填栏目</t>
    <phoneticPr fontId="7" type="noConversion"/>
  </si>
  <si>
    <t>已提供的答案</t>
    <phoneticPr fontId="7" type="noConversion"/>
  </si>
  <si>
    <t>备注</t>
    <phoneticPr fontId="7" type="noConversion"/>
  </si>
  <si>
    <t>信息源链接</t>
    <phoneticPr fontId="7" type="noConversion"/>
  </si>
  <si>
    <t xml:space="preserve">在“申报“工作表上选择报告层面为“产品 （或产品清单”项才必须完成此栏。 </t>
    <phoneticPr fontId="7" type="noConversion"/>
  </si>
  <si>
    <t>制造商产品名称</t>
    <phoneticPr fontId="7" type="noConversion"/>
  </si>
  <si>
    <t>注释</t>
    <phoneticPr fontId="7"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</si>
  <si>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</si>
  <si>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</si>
  <si>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</si>
  <si>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</si>
  <si>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</si>
  <si>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</si>
  <si>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</si>
  <si>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</si>
  <si>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</si>
  <si>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</si>
  <si>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</si>
  <si>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</si>
  <si>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</si>
  <si>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</si>
  <si>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</si>
  <si>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</si>
  <si>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</si>
  <si>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</si>
  <si>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</si>
  <si>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</si>
  <si>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</si>
  <si>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</si>
  <si>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</si>
  <si>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</si>
  <si>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</si>
  <si>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</si>
  <si>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</si>
  <si>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</si>
  <si>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</si>
  <si>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</si>
  <si>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</si>
  <si>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</si>
  <si>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</si>
  <si>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</si>
  <si>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</si>
  <si>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</si>
  <si>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</si>
  <si>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</si>
  <si>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</si>
  <si>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</si>
  <si>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</si>
  <si>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</si>
  <si>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</si>
  <si>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</si>
  <si>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</si>
  <si>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</si>
  <si>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</si>
  <si>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</si>
  <si>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</si>
  <si>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</si>
  <si>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</si>
  <si>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</si>
  <si>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</si>
  <si>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</si>
  <si>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</si>
  <si>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</si>
  <si>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</si>
  <si>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</si>
  <si>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</si>
  <si>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</si>
  <si>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</si>
  <si>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</si>
  <si>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</si>
  <si>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</si>
  <si>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</si>
  <si>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</si>
  <si>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</si>
  <si>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</si>
  <si>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</si>
  <si>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</si>
  <si>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</si>
  <si>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</si>
  <si>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</si>
  <si>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</si>
  <si>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</si>
  <si>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</si>
  <si>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</si>
  <si>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</si>
  <si>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</si>
  <si>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</si>
  <si>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</si>
  <si>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</si>
  <si>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</si>
  <si>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</si>
  <si>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</si>
  <si>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</si>
  <si>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</si>
  <si>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</si>
  <si>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</si>
  <si>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</si>
  <si>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</si>
  <si>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</si>
  <si>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</si>
  <si>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</si>
  <si>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</si>
  <si>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</si>
  <si>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</si>
  <si>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</si>
  <si>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</si>
  <si>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</si>
  <si>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</si>
  <si>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</si>
  <si>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</si>
  <si>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</si>
  <si>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</si>
  <si>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</si>
  <si>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</si>
  <si>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</si>
  <si>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</si>
  <si>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</si>
  <si>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</si>
  <si>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</si>
  <si>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</si>
  <si>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</si>
  <si>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</si>
  <si>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</si>
  <si>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</si>
  <si>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</si>
  <si>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</si>
  <si>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</si>
  <si>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</si>
  <si>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</si>
  <si>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</si>
  <si>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</si>
  <si>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</si>
  <si>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</si>
  <si>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</si>
  <si>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</si>
  <si>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</si>
  <si>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</si>
  <si>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</si>
  <si>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</si>
  <si>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</si>
  <si>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</si>
  <si>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</si>
  <si>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</si>
  <si>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</si>
  <si>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</si>
  <si>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</si>
  <si>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</si>
  <si>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</si>
  <si>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</si>
  <si>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</si>
  <si>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</si>
  <si>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</si>
  <si>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</si>
  <si>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</si>
  <si>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</si>
  <si>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</si>
  <si>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</si>
  <si>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</si>
  <si>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</si>
  <si>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</si>
  <si>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</si>
  <si>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</si>
  <si>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</si>
  <si>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10" type="noConversion"/>
  </si>
  <si>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</si>
  <si>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</si>
  <si>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</si>
  <si>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10"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</si>
  <si>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</si>
  <si>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</si>
  <si>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</si>
  <si>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</si>
  <si>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</si>
  <si>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</si>
  <si>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</si>
  <si>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10" type="noConversion"/>
  </si>
  <si>
    <t>A ~ J 질문 답변 안내서(69~87줄).  어떤 광물에 대한 질문1 또는 질문2의 응답이 하나라도 "Yes"일 경우, A ~ J 질문 답변은 필수입니다.
답변은 반드시 영어로 기입해야 합니다.</t>
    <phoneticPr fontId="10"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</si>
  <si>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</si>
  <si>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</si>
  <si>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</si>
  <si>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</si>
  <si>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</si>
  <si>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</si>
  <si>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</si>
  <si>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</si>
  <si>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</si>
  <si>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</si>
  <si>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10" type="noConversion"/>
  </si>
  <si>
    <t>의도적 추가</t>
  </si>
  <si>
    <t>IPC-1755 분쟁광물 데이터 교환 기준</t>
  </si>
  <si>
    <t>제품의 기능성을 위해 필요한</t>
    <phoneticPr fontId="10" type="noConversion"/>
  </si>
  <si>
    <t>제품의 생산을 위해 필요한</t>
    <phoneticPr fontId="10"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</si>
  <si>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</si>
  <si>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</si>
  <si>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</si>
  <si>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</si>
  <si>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</si>
  <si>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</si>
  <si>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</si>
  <si>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</si>
  <si>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10"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</si>
  <si>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</si>
  <si>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</si>
  <si>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10" type="noConversion"/>
  </si>
  <si>
    <t>Le but de ce document est de collecter des informations sur la provenance de l'étain, du tantale, du tungstène et de l'or utilisé dans les produits.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</si>
  <si>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</si>
  <si>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</si>
  <si>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</si>
  <si>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</si>
  <si>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</si>
  <si>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</si>
  <si>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</si>
  <si>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</si>
  <si>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</si>
  <si>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</si>
  <si>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</si>
  <si>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</si>
  <si>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</si>
  <si>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</si>
  <si>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</si>
  <si>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</si>
  <si>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</si>
  <si>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</si>
  <si>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</si>
  <si>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</si>
  <si>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</si>
  <si>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</si>
  <si>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</si>
  <si>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</si>
  <si>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</si>
  <si>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</si>
  <si>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</si>
  <si>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</si>
  <si>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</si>
  <si>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</si>
  <si>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</si>
  <si>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</si>
  <si>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</si>
  <si>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</si>
  <si>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</si>
  <si>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</si>
  <si>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</si>
  <si>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</si>
  <si>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</si>
  <si>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</si>
  <si>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</si>
  <si>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</si>
  <si>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</si>
  <si>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</si>
  <si>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</si>
  <si>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</si>
  <si>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</si>
  <si>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</si>
  <si>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</si>
  <si>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</si>
  <si>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</si>
  <si>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</si>
  <si>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</si>
  <si>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</si>
  <si>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</si>
  <si>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</si>
  <si>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</si>
  <si>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</si>
  <si>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</si>
  <si>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</si>
  <si>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</si>
  <si>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7"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</si>
  <si>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7"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</si>
  <si>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</si>
  <si>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</si>
  <si>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</si>
  <si>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7"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</si>
  <si>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</si>
  <si>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7"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</si>
  <si>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7"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</si>
  <si>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</si>
  <si>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</si>
  <si>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</si>
  <si>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7" type="noConversion"/>
  </si>
  <si>
    <t>范围描述：</t>
  </si>
  <si>
    <t>转到产品目录表输入所需申报的所有产品</t>
    <phoneticPr fontId="7" type="noConversion"/>
  </si>
  <si>
    <t xml:space="preserve">公司唯一识别信息： </t>
    <phoneticPr fontId="7" type="noConversion"/>
  </si>
  <si>
    <t>公司唯一授权识别信息：</t>
    <phoneticPr fontId="7" type="noConversion"/>
  </si>
  <si>
    <t>地址：</t>
    <phoneticPr fontId="7" type="noConversion"/>
  </si>
  <si>
    <t>根据上述申报范围回答以下1-7道问题</t>
    <phoneticPr fontId="7" type="noConversion"/>
  </si>
  <si>
    <t>以公司层面来回答以下问题</t>
    <phoneticPr fontId="7"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</si>
  <si>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</si>
  <si>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</si>
  <si>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7" type="noConversion"/>
  </si>
  <si>
    <t>I.您的验证程序是否有包括纠正措施管理？</t>
    <phoneticPr fontId="7" type="noConversion"/>
  </si>
  <si>
    <t xml:space="preserve">J.您是否服从于美国证券交易委员会所公布的规定？ </t>
    <phoneticPr fontId="7" type="noConversion"/>
  </si>
  <si>
    <t>注释和附件</t>
    <phoneticPr fontId="7" type="noConversion"/>
  </si>
  <si>
    <t>是</t>
    <phoneticPr fontId="7" type="noConversion"/>
  </si>
  <si>
    <t>否</t>
    <phoneticPr fontId="7" type="noConversion"/>
  </si>
  <si>
    <t>不知道</t>
    <phoneticPr fontId="7" type="noConversion"/>
  </si>
  <si>
    <t>是，全部100%</t>
    <phoneticPr fontId="7" type="noConversion"/>
  </si>
  <si>
    <t>否，但超过50%</t>
    <phoneticPr fontId="7" type="noConversion"/>
  </si>
  <si>
    <t>否，但超过25%</t>
    <phoneticPr fontId="7" type="noConversion"/>
  </si>
  <si>
    <t>否，但少于25%</t>
    <phoneticPr fontId="7" type="noConversion"/>
  </si>
  <si>
    <t>完全没有</t>
    <phoneticPr fontId="7" type="noConversion"/>
  </si>
  <si>
    <t>新用冶炼厂识别信息</t>
    <phoneticPr fontId="7" type="noConversion"/>
  </si>
  <si>
    <t>冶炼厂联系名称</t>
    <phoneticPr fontId="7" type="noConversion"/>
  </si>
  <si>
    <t>冶炼厂联系电邮地址</t>
    <phoneticPr fontId="7" type="noConversion"/>
  </si>
  <si>
    <t>建议的后续步骤</t>
    <phoneticPr fontId="7"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</si>
  <si>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</si>
  <si>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</si>
  <si>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7"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</si>
  <si>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</si>
  <si>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</si>
  <si>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</si>
  <si>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</si>
  <si>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</si>
  <si>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</si>
  <si>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</si>
  <si>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</si>
  <si>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</si>
  <si>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</si>
  <si>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</si>
  <si>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</si>
  <si>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</si>
  <si>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</si>
  <si>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</si>
  <si>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</si>
  <si>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</si>
  <si>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</si>
  <si>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</si>
  <si>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</si>
  <si>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</si>
  <si>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</si>
  <si>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</si>
  <si>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</si>
  <si>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</si>
  <si>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B. Please answer “Yes” or “No” If “Yes”, provide the web link in the comments section.</t>
  </si>
  <si>
    <t xml:space="preserve">A. Please answer “Yes” or “No”.  Provide any comments, if necessary. </t>
  </si>
  <si>
    <t>A57</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</si>
  <si>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</si>
  <si>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</si>
  <si>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</si>
  <si>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</si>
  <si>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</si>
  <si>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</si>
  <si>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</si>
  <si>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</si>
  <si>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</si>
  <si>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</si>
  <si>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</si>
  <si>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</si>
  <si>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</si>
  <si>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</si>
  <si>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</si>
  <si>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</si>
  <si>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</si>
  <si>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</si>
  <si>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</si>
  <si>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</si>
  <si>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</si>
  <si>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</si>
  <si>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</si>
  <si>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</si>
  <si>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</si>
  <si>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</si>
  <si>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</si>
  <si>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</si>
  <si>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</si>
  <si>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</si>
  <si>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</si>
  <si>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</si>
  <si>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</si>
  <si>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</si>
  <si>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</si>
  <si>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</si>
  <si>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</si>
  <si>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</si>
  <si>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</si>
  <si>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</si>
  <si>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</si>
  <si>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</si>
  <si>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</si>
  <si>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</si>
  <si>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</si>
  <si>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</si>
  <si>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</si>
  <si>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</si>
  <si>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</si>
  <si>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</si>
  <si>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</si>
  <si>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</si>
  <si>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6"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</si>
  <si>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</si>
  <si>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</si>
  <si>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</si>
  <si>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</si>
  <si>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</si>
  <si>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</si>
  <si>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</si>
  <si>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</si>
  <si>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</si>
  <si>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</si>
  <si>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</si>
  <si>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</si>
  <si>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</si>
  <si>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</si>
  <si>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</si>
  <si>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</si>
  <si>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</si>
  <si>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</si>
  <si>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</si>
  <si>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</si>
  <si>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</si>
  <si>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</si>
  <si>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</si>
  <si>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</si>
  <si>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</si>
  <si>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</si>
  <si>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</si>
  <si>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</si>
  <si>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</si>
  <si>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</si>
  <si>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</si>
  <si>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</si>
  <si>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</si>
  <si>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</si>
  <si>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</si>
  <si>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</si>
  <si>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</si>
  <si>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</si>
  <si>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</si>
  <si>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</si>
  <si>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</si>
  <si>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</si>
  <si>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</si>
  <si>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</si>
  <si>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</si>
  <si>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</si>
  <si>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</si>
  <si>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</si>
  <si>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</si>
  <si>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</si>
  <si>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</si>
  <si>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</si>
  <si>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</si>
  <si>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</si>
  <si>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</si>
  <si>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</si>
  <si>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</si>
  <si>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</si>
  <si>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</si>
  <si>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</si>
  <si>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</si>
  <si>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</si>
  <si>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</si>
  <si>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</si>
  <si>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</si>
  <si>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</si>
  <si>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</si>
  <si>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</si>
  <si>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</si>
  <si>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</si>
  <si>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</si>
  <si>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</si>
  <si>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</si>
  <si>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</si>
  <si>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</si>
  <si>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</si>
  <si>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</si>
  <si>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</si>
  <si>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</si>
  <si>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</si>
  <si>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</si>
  <si>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</si>
  <si>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</si>
  <si>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</si>
  <si>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</si>
  <si>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</si>
  <si>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</si>
  <si>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</si>
  <si>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</si>
  <si>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</si>
  <si>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</si>
  <si>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</si>
  <si>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</si>
  <si>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</si>
  <si>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</si>
  <si>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</si>
  <si>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</si>
  <si>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</si>
  <si>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</si>
  <si>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</si>
  <si>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</si>
  <si>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</si>
  <si>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</si>
  <si>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</si>
  <si>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</si>
  <si>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</si>
  <si>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</si>
  <si>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</si>
  <si>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</si>
  <si>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</si>
  <si>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</si>
  <si>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</si>
  <si>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</si>
  <si>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10"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</si>
  <si>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</si>
  <si>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</si>
  <si>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</si>
  <si>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</si>
  <si>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10"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</si>
  <si>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10"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</si>
  <si>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10"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</si>
  <si>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10"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</si>
  <si>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10"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</si>
  <si>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10"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</si>
  <si>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10"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</si>
  <si>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</si>
  <si>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</si>
  <si>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</si>
  <si>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</si>
  <si>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</si>
  <si>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</si>
  <si>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</si>
  <si>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</si>
  <si>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</si>
  <si>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</si>
  <si>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</si>
  <si>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</si>
  <si>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</si>
  <si>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</si>
  <si>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</si>
  <si>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</si>
  <si>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</si>
  <si>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</si>
  <si>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</si>
  <si>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</si>
  <si>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</si>
  <si>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</si>
  <si>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</si>
  <si>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</si>
  <si>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</si>
  <si>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</si>
  <si>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</si>
  <si>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</si>
  <si>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</si>
  <si>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</si>
  <si>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</si>
  <si>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</si>
  <si>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</si>
  <si>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</si>
  <si>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</si>
  <si>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</si>
  <si>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</si>
  <si>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</si>
  <si>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</si>
  <si>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</si>
  <si>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</si>
  <si>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구 제련소 ID</t>
  </si>
  <si>
    <t>신  제련소 ID</t>
  </si>
  <si>
    <t>CFSI 网址：（www.conflictfreesourcing.org) 培训，指引，报告模板，无冲突矿产达标冶炼厂名单。</t>
  </si>
  <si>
    <t>介绍</t>
    <phoneticPr fontId="7" type="noConversion"/>
  </si>
  <si>
    <t>公司资料填写说明（第8-22行）。只限英文作答</t>
  </si>
  <si>
    <t>注：带星号（*）的栏目必须填写</t>
    <phoneticPr fontId="7" type="noConversion"/>
  </si>
  <si>
    <t>3.输入贵公司的唯一识别序号或编号（DUNS号码，VAT号码，客户特定识别码等）</t>
    <phoneticPr fontId="7" type="noConversion"/>
  </si>
  <si>
    <t>4. 输入唯一识别序号或编号的出处 （如“DUNS”，“VAT”，“客户”等）</t>
    <phoneticPr fontId="7" type="noConversion"/>
  </si>
  <si>
    <t xml:space="preserve">5. 输入贵公司完整的地址（街道，地区，城市，国家，邮区编号）。 此栏自由选择填写。 </t>
    <phoneticPr fontId="7" type="noConversion"/>
  </si>
  <si>
    <t xml:space="preserve">6. 输入对此申报内容负责的联系人姓名。此栏必须填写。 </t>
    <phoneticPr fontId="7" type="noConversion"/>
  </si>
  <si>
    <t>7. 输入联系人电邮地址。 如果无电邮地址，请声明“无”或“不适用”。 留空此栏将会导致此报告填写出错失效。 此栏必须填写。</t>
    <phoneticPr fontId="7" type="noConversion"/>
  </si>
  <si>
    <t>8. 输入联系电话号码。 此栏必须填写。</t>
    <phoneticPr fontId="7"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</si>
  <si>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</si>
  <si>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</si>
  <si>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7"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</si>
  <si>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</si>
  <si>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</si>
  <si>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</si>
  <si>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7" type="noConversion"/>
  </si>
  <si>
    <t>A. 请回答是(Yes)或不是(No)。如需要可加注释。</t>
    <phoneticPr fontId="7" type="noConversion"/>
  </si>
  <si>
    <t>B. 请回答是(Yes)或不是(No)，如果回答是（Yes）请在注释栏位内提供网址链接。</t>
    <phoneticPr fontId="7" type="noConversion"/>
  </si>
  <si>
    <t xml:space="preserve">C. 请回答是(Yes)或不是(No)。如有需要，请提建议。 请查阅定义表以了解“无刚果民主共和国的冲突”的定义。 </t>
    <phoneticPr fontId="7" type="noConversion"/>
  </si>
  <si>
    <t>G. 请回答是(Yes)或不是(No)。如有需要，请提建议</t>
    <phoneticPr fontId="7" type="noConversion"/>
  </si>
  <si>
    <t>I. 请回答是(Yes)或不是(No)。如回答“是（Yes）”，则请说明贵公司是如何实施纠正措施流程。</t>
    <phoneticPr fontId="7" type="noConversion"/>
  </si>
  <si>
    <t>J.请回答是(Yes)或不是(No)。美国证券交易委员会揭发冲突矿产的要求适用于所有遵循美国证券交易法的在美国证券交易所上市的公司。欲了解更多信息，请参阅www.sec.gov。</t>
    <phoneticPr fontId="7" type="noConversion"/>
  </si>
  <si>
    <t>冶炼厂名单工作表的填写说明。只限英文作答</t>
    <phoneticPr fontId="7" type="noConversion"/>
  </si>
  <si>
    <t>注：带星号（*）列表示此区域必须填写。</t>
    <phoneticPr fontId="7" type="noConversion"/>
  </si>
  <si>
    <t xml:space="preserve">此模板允许使用冶炼厂参考名单查询冶炼厂识别号码。 利用冶炼厂参考名单的功能，从左到右填写列B,C,D和E。                           每种金属、冶炼厂、国家联合需单独一行表示。 </t>
    <phoneticPr fontId="7" type="noConversion"/>
  </si>
  <si>
    <t xml:space="preserve">15. 冶炼厂用的原料100%全部来自回收料或报废料吗？ - 若冶炼厂仅使用回收料或报废料作为提炼原料而没有使用其它物料则答“是（Yes）”， 否则答“不是（No）”。 </t>
    <phoneticPr fontId="7"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</si>
  <si>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</si>
  <si>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</si>
  <si>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7"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</si>
  <si>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7"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</si>
  <si>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7" type="noConversion"/>
  </si>
  <si>
    <t>如果此条款及细则的某个条款部分在法律下无效或不可执行，被视为无效的部分应仅限于该无效或不能强制执行的部份，这将不以任何方式影响到条款及细则的其余条款。</t>
    <phoneticPr fontId="7" type="noConversion"/>
  </si>
  <si>
    <t>3TG是钽（Tantalum)，锡(Tin)，钨(Tungsten)，金（Glod)的缩写</t>
  </si>
  <si>
    <t>授权人</t>
    <phoneticPr fontId="7" type="noConversion"/>
  </si>
  <si>
    <t>不使用冲突矿产冶炼厂计划中的合规冶炼厂目录</t>
  </si>
  <si>
    <t>不使用冲突矿产冶炼厂计划（CFSP）</t>
  </si>
  <si>
    <t>不使用冲突矿产采购倡议</t>
  </si>
  <si>
    <t xml:space="preserve">冲突矿产 </t>
  </si>
  <si>
    <t>例举的国家</t>
    <phoneticPr fontId="7" type="noConversion"/>
  </si>
  <si>
    <t xml:space="preserve">申报范围或种类 </t>
    <phoneticPr fontId="7" type="noConversion"/>
  </si>
  <si>
    <t>多德-弗兰克</t>
    <phoneticPr fontId="7" type="noConversion"/>
  </si>
  <si>
    <t>刚果民主共和国</t>
    <phoneticPr fontId="7" type="noConversion"/>
  </si>
  <si>
    <t>刚果民主共和国无冲突矿产</t>
  </si>
  <si>
    <t>全球电子可持续发展倡议组织</t>
    <phoneticPr fontId="7" type="noConversion"/>
  </si>
  <si>
    <t>独立的私营审核机构</t>
    <phoneticPr fontId="7" type="noConversion"/>
  </si>
  <si>
    <t>有目的添加</t>
    <phoneticPr fontId="7" type="noConversion"/>
  </si>
  <si>
    <t>IPC</t>
    <phoneticPr fontId="7" type="noConversion"/>
  </si>
  <si>
    <t>IPC-1755冲突矿产数据交换标准</t>
  </si>
  <si>
    <t>产品功能需要</t>
    <phoneticPr fontId="7" type="noConversion"/>
  </si>
  <si>
    <t>产品生产需要</t>
    <phoneticPr fontId="7" type="noConversion"/>
  </si>
  <si>
    <t>组织经济合作与发展</t>
    <phoneticPr fontId="7" type="noConversion"/>
  </si>
  <si>
    <t>回收或废料源</t>
    <phoneticPr fontId="7" type="noConversion"/>
  </si>
  <si>
    <t>冶炼厂识别序号</t>
    <phoneticPr fontId="7" type="noConversion"/>
  </si>
  <si>
    <t>钽（Ta)冶炼厂</t>
    <phoneticPr fontId="7" type="noConversion"/>
  </si>
  <si>
    <t>锡（Sn)冶炼厂</t>
    <phoneticPr fontId="7" type="noConversion"/>
  </si>
  <si>
    <t>钨（W)冶炼厂</t>
    <phoneticPr fontId="7" type="noConversion"/>
  </si>
  <si>
    <t>定义</t>
    <phoneticPr fontId="7" type="noConversion"/>
  </si>
  <si>
    <t>钽,锡,钨,金</t>
    <phoneticPr fontId="7"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</si>
  <si>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</si>
  <si>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</si>
  <si>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</si>
  <si>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</si>
  <si>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7"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</si>
  <si>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7" type="noConversion"/>
  </si>
  <si>
    <t>2010年美国通过立法《多德—弗兰克华尔街金融改革与消费者保护法》第1502 （简称“多德—弗兰克”）                                  (http://www.sec.gov/about/laws/wallstreetreform-cpa.pdf)</t>
    <phoneticPr fontId="7"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</si>
  <si>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7"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</si>
  <si>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</si>
  <si>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</si>
  <si>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</si>
  <si>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</si>
  <si>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</si>
  <si>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</si>
  <si>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</si>
  <si>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</si>
  <si>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</si>
  <si>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</si>
  <si>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</si>
  <si>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</si>
  <si>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</si>
  <si>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</si>
  <si>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</si>
  <si>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</si>
  <si>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</si>
  <si>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</si>
  <si>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</si>
  <si>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</si>
  <si>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</si>
  <si>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</si>
  <si>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</si>
  <si>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</si>
  <si>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</si>
  <si>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</si>
  <si>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</si>
  <si>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</si>
  <si>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</si>
  <si>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</si>
  <si>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</si>
  <si>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</si>
  <si>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</si>
  <si>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</si>
  <si>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</si>
  <si>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</si>
  <si>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</si>
  <si>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</si>
  <si>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</si>
  <si>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</si>
  <si>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</si>
  <si>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</si>
  <si>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</si>
  <si>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</si>
  <si>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</si>
  <si>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</si>
  <si>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</si>
  <si>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</si>
  <si>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</si>
  <si>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</si>
  <si>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</si>
  <si>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</si>
  <si>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</si>
  <si>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</si>
  <si>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</si>
  <si>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</si>
  <si>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</si>
  <si>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</si>
  <si>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</si>
  <si>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</si>
  <si>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</si>
  <si>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</si>
  <si>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</si>
  <si>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</si>
  <si>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</si>
  <si>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</si>
  <si>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</si>
  <si>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</si>
  <si>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</si>
  <si>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</si>
  <si>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</si>
  <si>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</si>
  <si>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</si>
  <si>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</si>
  <si>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</si>
  <si>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</si>
  <si>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</si>
  <si>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</si>
  <si>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</si>
  <si>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</si>
  <si>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</si>
  <si>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</si>
  <si>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</si>
  <si>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</si>
  <si>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</si>
  <si>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</si>
  <si>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</si>
  <si>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</si>
  <si>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</si>
  <si>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</si>
  <si>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</si>
  <si>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</si>
  <si>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</si>
  <si>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</si>
  <si>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</si>
  <si>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</si>
  <si>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</si>
  <si>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</si>
  <si>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</si>
  <si>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</si>
  <si>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</si>
  <si>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</si>
  <si>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</si>
  <si>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</si>
  <si>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</si>
  <si>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</si>
  <si>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</si>
  <si>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</si>
  <si>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</si>
  <si>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</si>
  <si>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</si>
  <si>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</si>
  <si>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</si>
  <si>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</si>
  <si>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</si>
  <si>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</si>
  <si>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</si>
  <si>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</si>
  <si>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</si>
  <si>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</si>
  <si>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</si>
  <si>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</si>
  <si>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</si>
  <si>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</si>
  <si>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</si>
  <si>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</si>
  <si>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</si>
  <si>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</si>
  <si>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</si>
  <si>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</si>
  <si>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</si>
  <si>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</si>
  <si>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</si>
  <si>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</si>
  <si>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</si>
  <si>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</si>
  <si>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</si>
  <si>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</si>
  <si>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</si>
  <si>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</si>
  <si>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</si>
  <si>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</si>
  <si>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</si>
  <si>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</si>
  <si>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</si>
  <si>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</si>
  <si>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</si>
  <si>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</si>
  <si>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</si>
  <si>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</si>
  <si>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</si>
  <si>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</si>
  <si>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</si>
  <si>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</si>
  <si>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</si>
  <si>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</si>
  <si>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</si>
  <si>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</si>
  <si>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</si>
  <si>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</si>
  <si>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</si>
  <si>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</si>
  <si>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</si>
  <si>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</si>
  <si>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</si>
  <si>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</si>
  <si>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</si>
  <si>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</si>
  <si>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</si>
  <si>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</si>
  <si>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</si>
  <si>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</si>
  <si>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</si>
  <si>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</si>
  <si>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</si>
  <si>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</si>
  <si>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</si>
  <si>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</si>
  <si>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</si>
  <si>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</si>
  <si>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</si>
  <si>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</si>
  <si>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</si>
  <si>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</si>
  <si>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</si>
  <si>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</si>
  <si>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</si>
  <si>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</si>
  <si>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</si>
  <si>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</si>
  <si>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</si>
  <si>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</si>
  <si>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</si>
  <si>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</si>
  <si>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</si>
  <si>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</si>
  <si>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</si>
  <si>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</si>
  <si>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</si>
  <si>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</si>
  <si>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</si>
  <si>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</si>
  <si>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</si>
  <si>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</si>
  <si>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</si>
  <si>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</si>
  <si>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</si>
  <si>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</si>
  <si>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</si>
  <si>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</si>
  <si>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</si>
  <si>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</si>
  <si>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</si>
  <si>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</si>
  <si>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</si>
  <si>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</si>
  <si>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</si>
  <si>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</si>
  <si>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</si>
  <si>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</si>
  <si>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</si>
  <si>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</si>
  <si>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</si>
  <si>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</si>
  <si>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</si>
  <si>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</si>
  <si>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</si>
  <si>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</si>
  <si>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</si>
  <si>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</si>
  <si>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</si>
  <si>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</si>
  <si>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</si>
  <si>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</si>
  <si>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</si>
  <si>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</si>
  <si>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</si>
  <si>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</si>
  <si>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</si>
  <si>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</si>
  <si>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</si>
  <si>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</si>
  <si>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</si>
  <si>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</si>
  <si>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</si>
  <si>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</si>
  <si>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</si>
  <si>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</si>
  <si>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</si>
  <si>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</si>
  <si>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</si>
  <si>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</si>
  <si>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</si>
  <si>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</si>
  <si>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</si>
  <si>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</si>
  <si>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</si>
  <si>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</si>
  <si>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</si>
  <si>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</si>
  <si>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</si>
  <si>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</si>
  <si>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</si>
  <si>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</si>
  <si>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</si>
  <si>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</si>
  <si>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</si>
  <si>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</si>
  <si>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</si>
  <si>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</si>
  <si>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</si>
  <si>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</si>
  <si>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</si>
  <si>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</si>
  <si>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</si>
  <si>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</si>
  <si>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</si>
  <si>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</si>
  <si>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</si>
  <si>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</si>
  <si>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</si>
  <si>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</si>
  <si>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</si>
  <si>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</si>
  <si>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</si>
  <si>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</si>
  <si>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</si>
  <si>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</si>
  <si>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</si>
  <si>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</si>
  <si>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</si>
  <si>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</si>
  <si>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</si>
  <si>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</si>
  <si>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</si>
  <si>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</si>
  <si>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</si>
  <si>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</si>
  <si>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</si>
  <si>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</si>
  <si>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</si>
  <si>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</si>
  <si>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</si>
  <si>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</si>
  <si>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</si>
  <si>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</si>
  <si>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</si>
  <si>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</si>
  <si>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</si>
  <si>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</si>
  <si>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</si>
  <si>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</si>
  <si>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</si>
  <si>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</si>
  <si>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</si>
  <si>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</si>
  <si>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</si>
  <si>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</si>
  <si>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</si>
  <si>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</si>
  <si>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</si>
  <si>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</si>
  <si>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</si>
  <si>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</si>
  <si>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</si>
  <si>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</si>
  <si>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</si>
  <si>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</si>
  <si>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</si>
  <si>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</si>
  <si>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</si>
  <si>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</si>
  <si>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</si>
  <si>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</si>
  <si>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</si>
  <si>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</si>
  <si>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</si>
  <si>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</si>
  <si>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</si>
  <si>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</si>
  <si>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</si>
  <si>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</si>
  <si>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</si>
  <si>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</si>
  <si>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</si>
  <si>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</si>
  <si>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</si>
  <si>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</si>
  <si>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</si>
  <si>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</si>
  <si>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</si>
  <si>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</si>
  <si>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</si>
  <si>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</si>
  <si>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</si>
  <si>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</si>
  <si>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</si>
  <si>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</si>
  <si>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</si>
  <si>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</si>
  <si>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</si>
  <si>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</si>
  <si>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</si>
  <si>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</si>
  <si>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</si>
  <si>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</si>
  <si>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</si>
  <si>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</si>
  <si>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</si>
  <si>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</si>
  <si>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</si>
  <si>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</si>
  <si>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</si>
  <si>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</si>
  <si>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</si>
  <si>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</si>
  <si>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</si>
  <si>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</si>
  <si>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</si>
  <si>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</si>
  <si>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</si>
  <si>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</si>
  <si>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</si>
  <si>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</si>
  <si>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</si>
  <si>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</si>
  <si>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</si>
  <si>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</si>
  <si>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</si>
  <si>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</si>
  <si>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</si>
  <si>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</si>
  <si>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</si>
  <si>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</si>
  <si>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</si>
  <si>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</si>
  <si>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</si>
  <si>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</si>
  <si>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</si>
  <si>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</si>
  <si>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</si>
  <si>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</si>
  <si>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</si>
  <si>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</si>
  <si>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</si>
  <si>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</si>
  <si>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</si>
  <si>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</si>
  <si>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</si>
  <si>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</si>
  <si>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</si>
  <si>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</si>
  <si>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</si>
  <si>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</si>
  <si>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</si>
  <si>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</si>
  <si>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</si>
  <si>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</si>
  <si>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</si>
  <si>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</si>
  <si>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</si>
  <si>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</si>
  <si>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</si>
  <si>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</si>
  <si>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</si>
  <si>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</si>
  <si>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</si>
  <si>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</si>
  <si>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</si>
  <si>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</si>
  <si>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</si>
  <si>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</si>
  <si>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</si>
  <si>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</si>
  <si>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</si>
  <si>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</si>
  <si>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</si>
  <si>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</si>
  <si>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</si>
  <si>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</si>
  <si>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</si>
  <si>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</si>
  <si>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</si>
  <si>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</si>
  <si>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</si>
  <si>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</si>
  <si>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</si>
  <si>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</si>
  <si>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</si>
  <si>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</si>
  <si>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</si>
  <si>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</si>
  <si>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</si>
  <si>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</si>
  <si>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</si>
  <si>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</si>
  <si>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</si>
  <si>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</si>
  <si>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</si>
  <si>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</si>
  <si>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</si>
  <si>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</si>
  <si>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</si>
  <si>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</si>
  <si>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</si>
  <si>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</si>
  <si>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</si>
  <si>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</si>
  <si>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</si>
  <si>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</si>
  <si>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</si>
  <si>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</si>
  <si>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</si>
  <si>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</si>
  <si>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</si>
  <si>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</si>
  <si>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</si>
  <si>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</si>
  <si>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</si>
  <si>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</si>
  <si>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</si>
  <si>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</si>
  <si>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</si>
  <si>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</si>
  <si>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</si>
  <si>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</si>
  <si>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</si>
  <si>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</si>
  <si>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</si>
  <si>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</si>
  <si>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</si>
  <si>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</si>
  <si>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</si>
  <si>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</si>
  <si>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</si>
  <si>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</si>
  <si>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</si>
  <si>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</si>
  <si>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</si>
  <si>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</si>
  <si>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</si>
  <si>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</si>
  <si>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</si>
  <si>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</si>
  <si>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</si>
  <si>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</si>
  <si>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</si>
  <si>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</si>
  <si>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</si>
  <si>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</si>
  <si>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</si>
  <si>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</si>
  <si>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</si>
  <si>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</si>
  <si>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</si>
  <si>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</si>
  <si>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</si>
  <si>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</si>
  <si>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</si>
  <si>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</si>
  <si>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</si>
  <si>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</si>
  <si>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</si>
  <si>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</si>
  <si>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</si>
  <si>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</si>
  <si>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</si>
  <si>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</si>
  <si>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</si>
  <si>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</si>
  <si>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</si>
  <si>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</si>
  <si>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</si>
  <si>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</si>
  <si>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</si>
  <si>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</si>
  <si>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</si>
  <si>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</si>
  <si>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</si>
  <si>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</si>
  <si>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</si>
  <si>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</si>
  <si>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</si>
  <si>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</si>
  <si>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</si>
  <si>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</si>
  <si>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</si>
  <si>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</si>
  <si>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</si>
  <si>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</si>
  <si>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</si>
  <si>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</si>
  <si>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</si>
  <si>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</si>
  <si>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</si>
  <si>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</si>
  <si>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</si>
  <si>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</si>
  <si>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</si>
  <si>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</si>
  <si>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</si>
  <si>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</si>
  <si>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</si>
  <si>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</si>
  <si>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</si>
  <si>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</si>
  <si>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</si>
  <si>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</si>
  <si>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</si>
  <si>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</si>
  <si>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</si>
  <si>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</si>
  <si>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</si>
  <si>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</si>
  <si>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</si>
  <si>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</si>
  <si>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</si>
  <si>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</si>
  <si>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</si>
  <si>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</si>
  <si>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</si>
  <si>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</si>
  <si>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</si>
  <si>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</si>
  <si>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</si>
  <si>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</si>
  <si>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</si>
  <si>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</si>
  <si>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</si>
  <si>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</si>
  <si>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</si>
  <si>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</si>
  <si>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</si>
  <si>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</si>
  <si>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</si>
  <si>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</si>
  <si>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</si>
  <si>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</si>
  <si>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</si>
  <si>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</si>
  <si>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</si>
  <si>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</si>
  <si>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</si>
  <si>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</si>
  <si>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</si>
  <si>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</si>
  <si>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</si>
  <si>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</si>
  <si>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</si>
  <si>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</si>
  <si>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</si>
  <si>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</si>
  <si>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</si>
  <si>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</si>
  <si>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</si>
  <si>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</si>
  <si>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</si>
  <si>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</si>
  <si>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</si>
  <si>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</si>
  <si>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</si>
  <si>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</si>
  <si>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</si>
  <si>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</si>
  <si>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</si>
  <si>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</si>
  <si>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</si>
  <si>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</si>
  <si>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</si>
  <si>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</si>
  <si>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</si>
  <si>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</si>
  <si>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</si>
  <si>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</si>
  <si>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</si>
  <si>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</si>
  <si>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</si>
  <si>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</si>
  <si>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TANZANIA, UNITED REPUBLIC OF</t>
  </si>
  <si>
    <t>UGANDA</t>
  </si>
  <si>
    <t>UKRAINE</t>
  </si>
  <si>
    <t>UNITED STATES MINOR OUTLYING ISLANDS</t>
  </si>
  <si>
    <t>URUGUAY</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</si>
  <si>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</si>
  <si>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</si>
  <si>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</si>
  <si>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</si>
  <si>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</si>
  <si>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</si>
  <si>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</si>
  <si>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</si>
  <si>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</si>
  <si>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</si>
  <si>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</si>
  <si>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</si>
  <si>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</si>
  <si>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</si>
  <si>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</si>
  <si>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</si>
  <si>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</si>
  <si>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</si>
  <si>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</si>
  <si>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</si>
  <si>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</si>
  <si>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</si>
  <si>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</si>
  <si>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</si>
  <si>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</si>
  <si>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</si>
  <si>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</si>
  <si>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</si>
  <si>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</si>
  <si>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</si>
  <si>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</si>
  <si>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</si>
  <si>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</si>
  <si>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</si>
  <si>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</si>
  <si>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</si>
  <si>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</si>
  <si>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</si>
  <si>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</si>
  <si>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</si>
  <si>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</si>
  <si>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</si>
  <si>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</si>
  <si>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</si>
  <si>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</si>
  <si>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</si>
  <si>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</si>
  <si>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</si>
  <si>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</si>
  <si>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</si>
  <si>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</si>
  <si>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</si>
  <si>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</si>
  <si>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</si>
  <si>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</si>
  <si>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</si>
  <si>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</si>
  <si>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</si>
  <si>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</si>
  <si>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</si>
  <si>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</si>
  <si>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</si>
  <si>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</si>
  <si>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</si>
  <si>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</si>
  <si>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</si>
  <si>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</si>
  <si>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</si>
  <si>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</si>
  <si>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</si>
  <si>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</si>
  <si>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</si>
  <si>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</si>
  <si>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</si>
  <si>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</si>
  <si>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</si>
  <si>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</si>
  <si>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</si>
  <si>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</si>
  <si>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</si>
  <si>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</si>
  <si>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</si>
  <si>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</si>
  <si>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</si>
  <si>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</si>
  <si>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</si>
  <si>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</si>
  <si>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</si>
  <si>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</si>
  <si>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</si>
  <si>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</si>
  <si>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</si>
  <si>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</si>
  <si>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</si>
  <si>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</si>
  <si>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</si>
  <si>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</si>
  <si>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</si>
  <si>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</si>
  <si>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</si>
  <si>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</si>
  <si>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</si>
  <si>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</si>
  <si>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</si>
  <si>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</si>
  <si>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</si>
  <si>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</si>
  <si>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</si>
  <si>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</si>
  <si>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</si>
  <si>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</si>
  <si>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</si>
  <si>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</si>
  <si>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</si>
  <si>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</si>
  <si>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</si>
  <si>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</si>
  <si>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</si>
  <si>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</si>
  <si>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</si>
  <si>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</si>
  <si>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</si>
  <si>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</si>
  <si>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</si>
  <si>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</si>
  <si>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</si>
  <si>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</si>
  <si>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</si>
  <si>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</si>
  <si>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</si>
  <si>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</si>
  <si>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</si>
  <si>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</si>
  <si>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</si>
  <si>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</si>
  <si>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</si>
  <si>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</si>
  <si>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</si>
  <si>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</si>
  <si>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</si>
  <si>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</si>
  <si>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</si>
  <si>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</si>
  <si>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</si>
  <si>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</si>
  <si>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</si>
  <si>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</si>
  <si>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</si>
  <si>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</si>
  <si>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</si>
  <si>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</si>
  <si>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</si>
  <si>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</si>
  <si>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</si>
  <si>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</si>
  <si>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</si>
  <si>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</si>
  <si>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</si>
  <si>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</si>
  <si>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</si>
  <si>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</si>
  <si>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</si>
  <si>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</si>
  <si>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</si>
  <si>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</si>
  <si>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</si>
  <si>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</si>
  <si>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</si>
  <si>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</si>
  <si>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</si>
  <si>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</si>
  <si>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</si>
  <si>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</si>
  <si>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</si>
  <si>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</si>
  <si>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</si>
  <si>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</si>
  <si>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</si>
  <si>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</si>
  <si>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</si>
  <si>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</si>
  <si>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</si>
  <si>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</si>
  <si>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</si>
  <si>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</si>
  <si>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</si>
  <si>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</si>
  <si>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</si>
  <si>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</si>
  <si>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</si>
  <si>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</si>
  <si>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</si>
  <si>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</si>
  <si>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</si>
  <si>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</si>
  <si>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</si>
  <si>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</si>
  <si>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</si>
  <si>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</si>
  <si>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</si>
  <si>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</si>
  <si>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</si>
  <si>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</si>
  <si>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</si>
  <si>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</si>
  <si>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</si>
  <si>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</si>
  <si>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</si>
  <si>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</si>
  <si>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</si>
  <si>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</si>
  <si>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</si>
  <si>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</si>
  <si>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</si>
  <si>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</si>
  <si>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</si>
  <si>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</si>
  <si>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</si>
  <si>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</si>
  <si>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</si>
  <si>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</si>
  <si>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</si>
  <si>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</si>
  <si>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</si>
  <si>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</si>
  <si>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</si>
  <si>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</si>
  <si>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</si>
  <si>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</si>
  <si>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</si>
  <si>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</si>
  <si>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</si>
  <si>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</si>
  <si>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</si>
  <si>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</si>
  <si>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</si>
  <si>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</si>
  <si>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</si>
  <si>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</si>
  <si>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</si>
  <si>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</si>
  <si>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</si>
  <si>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</si>
  <si>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</si>
  <si>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</si>
  <si>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</si>
  <si>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</si>
  <si>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</si>
  <si>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</si>
  <si>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</si>
  <si>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</si>
  <si>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</si>
  <si>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</si>
  <si>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</si>
  <si>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</si>
  <si>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</si>
  <si>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</si>
  <si>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</si>
  <si>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</si>
  <si>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</si>
  <si>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</si>
  <si>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</si>
  <si>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</si>
  <si>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</si>
  <si>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</si>
  <si>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</si>
  <si>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</si>
  <si>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</si>
  <si>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</si>
  <si>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</si>
  <si>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</si>
  <si>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</si>
  <si>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</si>
  <si>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</si>
  <si>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</si>
  <si>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</si>
  <si>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</si>
  <si>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</si>
  <si>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</si>
  <si>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</si>
  <si>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</si>
  <si>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</si>
  <si>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</si>
  <si>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</si>
  <si>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</si>
  <si>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</si>
  <si>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</si>
  <si>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</si>
  <si>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</si>
  <si>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</si>
  <si>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</si>
  <si>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</si>
  <si>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</si>
  <si>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</si>
  <si>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</si>
  <si>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</si>
  <si>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</si>
  <si>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</si>
  <si>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</si>
  <si>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</si>
  <si>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</si>
  <si>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</si>
  <si>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</si>
  <si>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</si>
  <si>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</si>
  <si>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</si>
  <si>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</si>
  <si>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</si>
  <si>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</si>
  <si>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</si>
  <si>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</si>
  <si>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</si>
  <si>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</si>
  <si>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</si>
  <si>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</si>
  <si>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</si>
  <si>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</si>
  <si>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</si>
  <si>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</si>
  <si>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</si>
  <si>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</si>
  <si>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</si>
  <si>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</si>
  <si>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</si>
  <si>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</si>
  <si>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</si>
  <si>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</si>
  <si>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</si>
  <si>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</si>
  <si>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</si>
  <si>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</si>
  <si>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</si>
  <si>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</si>
  <si>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</si>
  <si>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</si>
  <si>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</si>
  <si>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</si>
  <si>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</si>
  <si>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</si>
  <si>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</si>
  <si>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</si>
  <si>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</si>
  <si>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</si>
  <si>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</si>
  <si>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</si>
  <si>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</si>
  <si>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</si>
  <si>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</si>
  <si>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</si>
  <si>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</si>
  <si>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</si>
  <si>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</si>
  <si>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</si>
  <si>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</si>
  <si>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</si>
  <si>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</si>
  <si>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</si>
  <si>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</si>
  <si>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</si>
  <si>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</si>
  <si>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</si>
  <si>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</si>
  <si>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</si>
  <si>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</si>
  <si>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</si>
  <si>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</si>
  <si>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</si>
  <si>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</si>
  <si>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</si>
  <si>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</si>
  <si>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</si>
  <si>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</si>
  <si>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</si>
  <si>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</si>
  <si>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</si>
  <si>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</si>
  <si>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</si>
  <si>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</si>
  <si>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</si>
  <si>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</si>
  <si>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</si>
  <si>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</si>
  <si>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</si>
  <si>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</si>
  <si>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</si>
  <si>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</si>
  <si>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</si>
  <si>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</si>
  <si>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</si>
  <si>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</si>
  <si>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</si>
  <si>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</si>
  <si>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</si>
  <si>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</si>
  <si>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</si>
  <si>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</si>
  <si>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</si>
  <si>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</si>
  <si>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</si>
  <si>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</si>
  <si>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</si>
  <si>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</si>
  <si>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</si>
  <si>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</si>
  <si>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</si>
  <si>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</si>
  <si>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</si>
  <si>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</si>
  <si>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</si>
  <si>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</si>
  <si>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</si>
  <si>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</si>
  <si>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</si>
  <si>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</si>
  <si>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</si>
  <si>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</si>
  <si>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</si>
  <si>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</si>
  <si>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</si>
  <si>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</si>
  <si>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</si>
  <si>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</si>
  <si>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</si>
  <si>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</si>
  <si>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</si>
  <si>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</si>
  <si>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</si>
  <si>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</si>
  <si>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</si>
  <si>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</si>
  <si>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</si>
  <si>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</si>
  <si>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</si>
  <si>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</si>
  <si>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</si>
  <si>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</si>
  <si>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</si>
  <si>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</si>
  <si>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</si>
  <si>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</si>
  <si>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</si>
  <si>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</si>
  <si>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</si>
  <si>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</si>
  <si>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</si>
  <si>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</si>
  <si>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</si>
  <si>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</si>
  <si>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</si>
  <si>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</si>
  <si>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</si>
  <si>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</si>
  <si>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</si>
  <si>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</si>
  <si>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</si>
  <si>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</si>
  <si>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</si>
  <si>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</si>
  <si>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</si>
  <si>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</si>
  <si>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</si>
  <si>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</si>
  <si>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</si>
  <si>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</si>
  <si>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</si>
  <si>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</si>
  <si>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</si>
  <si>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</si>
  <si>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</si>
  <si>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</si>
  <si>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</si>
  <si>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</si>
  <si>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</si>
  <si>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</si>
  <si>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</si>
  <si>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</si>
  <si>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</si>
  <si>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</si>
  <si>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</si>
  <si>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</si>
  <si>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</si>
  <si>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</si>
  <si>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</si>
  <si>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</si>
  <si>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</si>
  <si>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</si>
  <si>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</si>
  <si>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</si>
  <si>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</si>
  <si>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</si>
  <si>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</si>
  <si>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</si>
  <si>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</si>
  <si>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</si>
  <si>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</si>
  <si>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</si>
  <si>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</si>
  <si>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</si>
  <si>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</si>
  <si>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</si>
  <si>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</si>
  <si>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</si>
  <si>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</si>
  <si>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</si>
  <si>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</si>
  <si>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</si>
  <si>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</si>
  <si>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</si>
  <si>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</si>
  <si>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</si>
  <si>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</si>
  <si>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</si>
  <si>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</si>
  <si>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</si>
  <si>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</si>
  <si>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</si>
  <si>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</si>
  <si>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</si>
  <si>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</si>
  <si>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</si>
  <si>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</si>
  <si>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</si>
  <si>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</si>
  <si>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</si>
  <si>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</si>
  <si>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</si>
  <si>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</si>
  <si>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</si>
  <si>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</si>
  <si>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</si>
  <si>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</si>
  <si>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</si>
  <si>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</si>
  <si>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</si>
  <si>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</si>
  <si>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</si>
  <si>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</si>
  <si>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</si>
  <si>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</si>
  <si>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</si>
  <si>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</si>
  <si>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</si>
  <si>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</si>
  <si>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</si>
  <si>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</si>
  <si>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</si>
  <si>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</si>
  <si>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</si>
  <si>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</si>
  <si>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</si>
  <si>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</si>
  <si>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</si>
  <si>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</si>
  <si>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</si>
  <si>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</si>
  <si>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</si>
  <si>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</si>
  <si>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</si>
  <si>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</si>
  <si>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</si>
  <si>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</si>
  <si>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</si>
  <si>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</si>
  <si>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</si>
  <si>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</si>
  <si>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</si>
  <si>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</si>
  <si>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</si>
  <si>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</si>
  <si>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</si>
  <si>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</si>
  <si>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</si>
  <si>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</si>
  <si>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</si>
  <si>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</si>
  <si>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</si>
  <si>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</si>
  <si>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</si>
  <si>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</si>
  <si>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</si>
  <si>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</si>
  <si>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</si>
  <si>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</si>
  <si>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</si>
  <si>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</si>
  <si>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</si>
  <si>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</si>
  <si>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</si>
  <si>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</si>
  <si>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</si>
  <si>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</si>
  <si>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</si>
  <si>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</si>
  <si>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</si>
  <si>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</si>
  <si>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</si>
  <si>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</si>
  <si>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</si>
  <si>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</si>
  <si>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</si>
  <si>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</si>
  <si>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</si>
  <si>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</si>
  <si>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</si>
  <si>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</si>
  <si>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</si>
  <si>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</si>
  <si>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</si>
  <si>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</si>
  <si>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</si>
  <si>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</si>
  <si>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</si>
  <si>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</si>
  <si>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</si>
  <si>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</si>
  <si>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</si>
  <si>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</si>
  <si>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</si>
  <si>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</si>
  <si>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</si>
  <si>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</si>
  <si>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</si>
  <si>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</si>
  <si>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</si>
  <si>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</si>
  <si>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</si>
  <si>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</si>
  <si>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</si>
  <si>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</si>
  <si>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</si>
  <si>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Introduzione</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</si>
  <si>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</si>
  <si>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</si>
  <si>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</si>
  <si>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</si>
  <si>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</si>
  <si>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</si>
  <si>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</si>
  <si>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</si>
  <si>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</si>
  <si>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</si>
  <si>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</si>
  <si>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</si>
  <si>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</si>
  <si>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</si>
  <si>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</si>
  <si>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</si>
  <si>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</si>
  <si>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</si>
  <si>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</si>
  <si>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</si>
  <si>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</si>
  <si>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</si>
  <si>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</si>
  <si>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</si>
  <si>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</si>
  <si>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</si>
  <si>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</si>
  <si>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</si>
  <si>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</si>
  <si>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</si>
  <si>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</si>
  <si>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</si>
  <si>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</si>
  <si>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</si>
  <si>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</si>
  <si>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</si>
  <si>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</si>
  <si>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</si>
  <si>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</si>
  <si>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</si>
  <si>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</si>
  <si>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</si>
  <si>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</si>
  <si>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</si>
  <si>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</si>
  <si>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</si>
  <si>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</si>
  <si>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</si>
  <si>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</si>
  <si>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</si>
  <si>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</si>
  <si>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</si>
  <si>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ATAkulche</t>
  </si>
  <si>
    <t>Aurubis AG</t>
  </si>
  <si>
    <t>Central Bank of the Philippines Gold Refinery &amp; Mint</t>
  </si>
  <si>
    <t>Boliden AB</t>
  </si>
  <si>
    <t>Heraeus Precious Metals GmbH &amp; Co. KG</t>
  </si>
  <si>
    <t>Ishifuku Metal Industry Co., Ltd.</t>
  </si>
  <si>
    <t>Metalor USA Refining Corporation</t>
  </si>
  <si>
    <t>Mitsui Mining and Smelting Co., Ltd.</t>
  </si>
  <si>
    <t>Navoi Mining and Metallurgical Combinat</t>
  </si>
  <si>
    <t>PT Aneka Tambang (Persero) Tbk</t>
  </si>
  <si>
    <t>Tanaka Kikinzoku Kogyo K.K.</t>
  </si>
  <si>
    <t>Zhongjin Gold Corporation Limited</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</si>
  <si>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</si>
  <si>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</si>
  <si>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</si>
  <si>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</si>
  <si>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</si>
  <si>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</si>
  <si>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</si>
  <si>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</si>
  <si>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</si>
  <si>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6" type="noConversion"/>
  </si>
  <si>
    <t xml:space="preserve">
</t>
    <phoneticPr fontId="6" type="noConversion"/>
  </si>
  <si>
    <t xml:space="preserve">
</t>
    <phoneticPr fontId="6"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</si>
  <si>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</si>
  <si>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</si>
  <si>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</si>
  <si>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</si>
  <si>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</si>
  <si>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</si>
  <si>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B67</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</si>
  <si>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</si>
  <si>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</si>
  <si>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</si>
  <si>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</si>
  <si>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</si>
  <si>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</si>
  <si>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</si>
  <si>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</si>
  <si>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</si>
  <si>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</si>
  <si>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</si>
  <si>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</si>
  <si>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</si>
  <si>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</si>
  <si>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</si>
  <si>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</si>
  <si>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</si>
  <si>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</si>
  <si>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</si>
  <si>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</si>
  <si>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</si>
  <si>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</si>
  <si>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</si>
  <si>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</si>
  <si>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</si>
  <si>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</si>
  <si>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</si>
  <si>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</si>
  <si>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</si>
  <si>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</si>
  <si>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</si>
  <si>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</si>
  <si>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</si>
  <si>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</si>
  <si>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</si>
  <si>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</si>
  <si>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</si>
  <si>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</si>
  <si>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</si>
  <si>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</si>
  <si>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</si>
  <si>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</si>
  <si>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</si>
  <si>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</si>
  <si>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</si>
  <si>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</si>
  <si>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</si>
  <si>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</si>
  <si>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</si>
  <si>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</si>
  <si>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</si>
  <si>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</si>
  <si>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</si>
  <si>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</si>
  <si>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</si>
  <si>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</si>
  <si>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</si>
  <si>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</si>
  <si>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</si>
  <si>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</si>
  <si>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</si>
  <si>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</si>
  <si>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</si>
  <si>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</si>
  <si>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</si>
  <si>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</si>
  <si>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</si>
  <si>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</si>
  <si>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</si>
  <si>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</si>
  <si>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</si>
  <si>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6"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</si>
  <si>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</si>
  <si>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</si>
  <si>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</si>
  <si>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</si>
  <si>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</si>
  <si>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</si>
  <si>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</si>
  <si>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</si>
  <si>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</si>
  <si>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</si>
  <si>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</si>
  <si>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</si>
  <si>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</si>
  <si>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</si>
  <si>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</si>
  <si>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</si>
  <si>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</si>
  <si>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</si>
  <si>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</si>
  <si>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</si>
  <si>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</si>
  <si>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</si>
  <si>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</si>
  <si>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</si>
  <si>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CID002500</t>
  </si>
  <si>
    <t>CID002011</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</si>
  <si>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</si>
  <si>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</si>
  <si>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</si>
  <si>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</si>
  <si>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</si>
  <si>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</si>
  <si>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</si>
  <si>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</si>
  <si>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</si>
  <si>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</si>
  <si>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</si>
  <si>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</si>
  <si>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</si>
  <si>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</si>
  <si>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</si>
  <si>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</si>
  <si>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</si>
  <si>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</si>
  <si>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</si>
  <si>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</si>
  <si>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</si>
  <si>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</si>
  <si>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</si>
  <si>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</si>
  <si>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</si>
  <si>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</si>
  <si>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</si>
  <si>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</si>
  <si>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</si>
  <si>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</si>
  <si>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</si>
  <si>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</si>
  <si>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</si>
  <si>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</si>
  <si>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</si>
  <si>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</si>
  <si>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</si>
  <si>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</si>
  <si>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</si>
  <si>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</si>
  <si>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</si>
  <si>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</si>
  <si>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</si>
  <si>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</si>
  <si>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</si>
  <si>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</si>
  <si>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</si>
  <si>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</si>
  <si>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</si>
  <si>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</si>
  <si>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</si>
  <si>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</si>
  <si>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</si>
  <si>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</si>
  <si>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</si>
  <si>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</si>
  <si>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</si>
  <si>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</si>
  <si>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</si>
  <si>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</si>
  <si>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</si>
  <si>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</si>
  <si>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</si>
  <si>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</si>
  <si>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</si>
  <si>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</si>
  <si>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</si>
  <si>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</si>
  <si>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</si>
  <si>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</si>
  <si>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</si>
  <si>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</si>
  <si>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</si>
  <si>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</si>
  <si>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</si>
  <si>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</si>
  <si>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</si>
  <si>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</si>
  <si>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</si>
  <si>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</si>
  <si>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</si>
  <si>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</si>
  <si>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</si>
  <si>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</si>
  <si>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</si>
  <si>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</si>
  <si>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</si>
  <si>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</si>
  <si>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</si>
  <si>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Panca Mega Persada</t>
  </si>
  <si>
    <t>CID001457</t>
  </si>
  <si>
    <t>PT Sumber Jaya Indah</t>
  </si>
  <si>
    <t>CID001471</t>
  </si>
  <si>
    <t>Advanced Chemical Company</t>
  </si>
  <si>
    <t>CID000015</t>
  </si>
  <si>
    <t>Fidelity Printers and Refiners Ltd.</t>
  </si>
  <si>
    <t>CID002515</t>
  </si>
  <si>
    <t>KGHM Polska Miedź Spółka Akcyjna</t>
  </si>
  <si>
    <t>CID002511</t>
  </si>
  <si>
    <t>CID001056</t>
  </si>
  <si>
    <t>CID002509</t>
  </si>
  <si>
    <t>Republic Metals Corporation</t>
  </si>
  <si>
    <t>CID002510</t>
  </si>
  <si>
    <t>CID001736</t>
  </si>
  <si>
    <t>Singway Technology Co., Ltd.</t>
  </si>
  <si>
    <t>CID002516</t>
  </si>
  <si>
    <t>D Block Metals, LLC</t>
  </si>
  <si>
    <t>CID002504</t>
  </si>
  <si>
    <t>CID002505</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</si>
  <si>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</si>
  <si>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</si>
  <si>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</si>
  <si>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</si>
  <si>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</si>
  <si>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</si>
  <si>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</si>
  <si>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</si>
  <si>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</si>
  <si>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</si>
  <si>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</si>
  <si>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</si>
  <si>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</si>
  <si>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</si>
  <si>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</si>
  <si>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</si>
  <si>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</si>
  <si>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</si>
  <si>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</si>
  <si>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</si>
  <si>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</si>
  <si>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Ganzhou Yatai Tungsten Co., Ltd.</t>
  </si>
  <si>
    <t>CID002536</t>
  </si>
  <si>
    <t>Jiangxi Xiushui Xianggan Nonferrous Metals Co., Ltd.</t>
  </si>
  <si>
    <t>CID002535</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</si>
  <si>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</si>
  <si>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</si>
  <si>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</si>
  <si>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</si>
  <si>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</si>
  <si>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</si>
  <si>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</si>
  <si>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</si>
  <si>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</si>
  <si>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</si>
  <si>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</si>
  <si>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</si>
  <si>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</si>
  <si>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</si>
  <si>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</si>
  <si>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</si>
  <si>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</si>
  <si>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</si>
  <si>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</si>
  <si>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</si>
  <si>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</si>
  <si>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</si>
  <si>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</si>
  <si>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</si>
  <si>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</si>
  <si>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</si>
  <si>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</si>
  <si>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</si>
  <si>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</si>
  <si>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</si>
  <si>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</si>
  <si>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</si>
  <si>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</si>
  <si>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</si>
  <si>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</si>
  <si>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</si>
  <si>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</si>
  <si>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</si>
  <si>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</si>
  <si>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</si>
  <si>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Sheets</t>
  </si>
  <si>
    <r>
      <t>中文</t>
    </r>
    <r>
      <rPr>
        <sz val="11"/>
        <rFont val="Verdana"/>
        <family val="2"/>
      </rPr>
      <t xml:space="preserve"> Chinese</t>
    </r>
  </si>
  <si>
    <r>
      <t>日本語</t>
    </r>
    <r>
      <rPr>
        <sz val="11"/>
        <rFont val="Verdana"/>
        <family val="2"/>
      </rPr>
      <t xml:space="preserve"> Japanese</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</si>
  <si>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</si>
  <si>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</si>
  <si>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</si>
  <si>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</si>
  <si>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</si>
  <si>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</si>
  <si>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</si>
  <si>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</si>
  <si>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</si>
  <si>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</si>
  <si>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</si>
  <si>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</si>
  <si>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</si>
  <si>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</si>
  <si>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</si>
  <si>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</si>
  <si>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</si>
  <si>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</si>
  <si>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</si>
  <si>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</si>
  <si>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</si>
  <si>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</si>
  <si>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</si>
  <si>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</si>
  <si>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</si>
  <si>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</si>
  <si>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</si>
  <si>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</si>
  <si>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</si>
  <si>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</si>
  <si>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</si>
  <si>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</si>
  <si>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</si>
  <si>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</si>
  <si>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</si>
  <si>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</si>
  <si>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</si>
  <si>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</si>
  <si>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</si>
  <si>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</si>
  <si>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</si>
  <si>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</si>
  <si>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</si>
  <si>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</si>
  <si>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</si>
  <si>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</si>
  <si>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</si>
  <si>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</si>
  <si>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</si>
  <si>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</si>
  <si>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</si>
  <si>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</si>
  <si>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</si>
  <si>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</si>
  <si>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</si>
  <si>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</si>
  <si>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</si>
  <si>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</si>
  <si>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</si>
  <si>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</si>
  <si>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</si>
  <si>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</si>
  <si>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</si>
  <si>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</si>
  <si>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</si>
  <si>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</si>
  <si>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</si>
  <si>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</si>
  <si>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</si>
  <si>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</si>
  <si>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</si>
  <si>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</si>
  <si>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</si>
  <si>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</si>
  <si>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</si>
  <si>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</si>
  <si>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</si>
  <si>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</si>
  <si>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</si>
  <si>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</si>
  <si>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</si>
  <si>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</si>
  <si>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</si>
  <si>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</si>
  <si>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</si>
  <si>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</si>
  <si>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</si>
  <si>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</si>
  <si>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</si>
  <si>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</si>
  <si>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</si>
  <si>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</si>
  <si>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</si>
  <si>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</si>
  <si>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</si>
  <si>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</si>
  <si>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</si>
  <si>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</si>
  <si>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</si>
  <si>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</si>
  <si>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</si>
  <si>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</si>
  <si>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</si>
  <si>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</si>
  <si>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</si>
  <si>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</si>
  <si>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</si>
  <si>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</si>
  <si>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</si>
  <si>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</si>
  <si>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</si>
  <si>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</si>
  <si>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</si>
  <si>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</si>
  <si>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</si>
  <si>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</si>
  <si>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</si>
  <si>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</si>
  <si>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</si>
  <si>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</si>
  <si>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</si>
  <si>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</si>
  <si>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</si>
  <si>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</si>
  <si>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</si>
  <si>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</si>
  <si>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</si>
  <si>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</si>
  <si>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</si>
  <si>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</si>
  <si>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</si>
  <si>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</si>
  <si>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</si>
  <si>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</si>
  <si>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</si>
  <si>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</si>
  <si>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</si>
  <si>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</si>
  <si>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</si>
  <si>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</si>
  <si>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</si>
  <si>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</si>
  <si>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</si>
  <si>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</si>
  <si>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</si>
  <si>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</si>
  <si>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</si>
  <si>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</si>
  <si>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</si>
  <si>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</si>
  <si>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</si>
  <si>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</si>
  <si>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</si>
  <si>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</si>
  <si>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</si>
  <si>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</si>
  <si>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</si>
  <si>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</si>
  <si>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</si>
  <si>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</si>
  <si>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</si>
  <si>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</si>
  <si>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</si>
  <si>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</si>
  <si>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</si>
  <si>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</si>
  <si>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</si>
  <si>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</si>
  <si>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</si>
  <si>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</si>
  <si>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</si>
  <si>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</si>
  <si>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</si>
  <si>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</si>
  <si>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</si>
  <si>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</si>
  <si>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</si>
  <si>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</si>
  <si>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</si>
  <si>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</si>
  <si>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</si>
  <si>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</si>
  <si>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</si>
  <si>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</si>
  <si>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</si>
  <si>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</si>
  <si>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</si>
  <si>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</si>
  <si>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</si>
  <si>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</si>
  <si>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</si>
  <si>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</si>
  <si>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</si>
  <si>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</si>
  <si>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</si>
  <si>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</si>
  <si>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</si>
  <si>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</si>
  <si>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</si>
  <si>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</si>
  <si>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</si>
  <si>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</si>
  <si>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</si>
  <si>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</si>
  <si>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</si>
  <si>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</si>
  <si>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</si>
  <si>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</si>
  <si>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</si>
  <si>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</si>
  <si>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</si>
  <si>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</si>
  <si>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</si>
  <si>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</si>
  <si>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</si>
  <si>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</si>
  <si>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</si>
  <si>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</si>
  <si>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</si>
  <si>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</si>
  <si>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</si>
  <si>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</si>
  <si>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</si>
  <si>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</si>
  <si>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</si>
  <si>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</si>
  <si>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</si>
  <si>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</si>
  <si>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</si>
  <si>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</si>
  <si>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</si>
  <si>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</si>
  <si>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</si>
  <si>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</si>
  <si>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</si>
  <si>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</si>
  <si>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</si>
  <si>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</si>
  <si>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</si>
  <si>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</si>
  <si>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</si>
  <si>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</si>
  <si>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</si>
  <si>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</si>
  <si>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</si>
  <si>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</si>
  <si>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</si>
  <si>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</si>
  <si>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</si>
  <si>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</si>
  <si>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</si>
  <si>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</si>
  <si>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</si>
  <si>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</si>
  <si>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</si>
  <si>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</si>
  <si>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</si>
  <si>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</si>
  <si>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</si>
  <si>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</si>
  <si>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</si>
  <si>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</si>
  <si>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</si>
  <si>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</si>
  <si>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</si>
  <si>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</si>
  <si>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</si>
  <si>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</si>
  <si>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</si>
  <si>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</si>
  <si>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</si>
  <si>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</si>
  <si>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</si>
  <si>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</si>
  <si>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</si>
  <si>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</si>
  <si>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</si>
  <si>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</si>
  <si>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</si>
  <si>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</si>
  <si>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</si>
  <si>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</si>
  <si>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</si>
  <si>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</si>
  <si>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</si>
  <si>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</si>
  <si>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</si>
  <si>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</si>
  <si>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</si>
  <si>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</si>
  <si>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</si>
  <si>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</si>
  <si>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</si>
  <si>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</si>
  <si>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</si>
  <si>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</si>
  <si>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</si>
  <si>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</si>
  <si>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</si>
  <si>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</si>
  <si>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</si>
  <si>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</si>
  <si>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</si>
  <si>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</si>
  <si>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</si>
  <si>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</si>
  <si>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</si>
  <si>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</si>
  <si>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</si>
  <si>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</si>
  <si>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</si>
  <si>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</si>
  <si>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</si>
  <si>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</si>
  <si>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</si>
  <si>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</si>
  <si>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</si>
  <si>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</si>
  <si>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</si>
  <si>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</si>
  <si>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</si>
  <si>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</si>
  <si>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</si>
  <si>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</si>
  <si>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</si>
  <si>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</si>
  <si>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</si>
  <si>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</si>
  <si>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</si>
  <si>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</si>
  <si>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</si>
  <si>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</si>
  <si>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</si>
  <si>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</si>
  <si>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</si>
  <si>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</si>
  <si>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</si>
  <si>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</si>
  <si>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</si>
  <si>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</si>
  <si>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</si>
  <si>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</si>
  <si>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</si>
  <si>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</si>
  <si>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</si>
  <si>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</si>
  <si>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</si>
  <si>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</si>
  <si>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</si>
  <si>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</si>
  <si>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</si>
  <si>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</si>
  <si>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</si>
  <si>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</si>
  <si>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</si>
  <si>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</si>
  <si>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</si>
  <si>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</si>
  <si>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</si>
  <si>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</si>
  <si>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</si>
  <si>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</si>
  <si>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</si>
  <si>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</si>
  <si>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Manila</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</si>
  <si>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</si>
  <si>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</si>
  <si>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</si>
  <si>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</si>
  <si>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</si>
  <si>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</si>
  <si>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</si>
  <si>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</si>
  <si>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</si>
  <si>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</si>
  <si>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</si>
  <si>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</si>
  <si>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</si>
  <si>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</si>
  <si>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</si>
  <si>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</si>
  <si>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</si>
  <si>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</si>
  <si>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</si>
  <si>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</si>
  <si>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</si>
  <si>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</si>
  <si>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</si>
  <si>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</si>
  <si>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</si>
  <si>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</si>
  <si>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</si>
  <si>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</si>
  <si>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</si>
  <si>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</si>
  <si>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</si>
  <si>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</si>
  <si>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</si>
  <si>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</si>
  <si>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</si>
  <si>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</si>
  <si>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</si>
  <si>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</si>
  <si>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</si>
  <si>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</si>
  <si>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</si>
  <si>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</si>
  <si>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</si>
  <si>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</si>
  <si>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</si>
  <si>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</si>
  <si>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</si>
  <si>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</si>
  <si>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</si>
  <si>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</si>
  <si>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</si>
  <si>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</si>
  <si>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</si>
  <si>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</si>
  <si>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</si>
  <si>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</si>
  <si>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</si>
  <si>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</si>
  <si>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</si>
  <si>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</si>
  <si>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</si>
  <si>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</si>
  <si>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</si>
  <si>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Kazzinc</t>
  </si>
  <si>
    <t>Ust-Kamenogorsk</t>
  </si>
  <si>
    <t>Magna</t>
  </si>
  <si>
    <t>Sayama</t>
  </si>
  <si>
    <t>Kojima Kagaku Yakuhin Co., Ltd</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</si>
  <si>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</si>
  <si>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</si>
  <si>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</si>
  <si>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</si>
  <si>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</si>
  <si>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</si>
  <si>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</si>
  <si>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</si>
  <si>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</si>
  <si>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</si>
  <si>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</si>
  <si>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</si>
  <si>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</si>
  <si>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</si>
  <si>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</si>
  <si>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</si>
  <si>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</si>
  <si>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</si>
  <si>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</si>
  <si>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</si>
  <si>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</si>
  <si>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</si>
  <si>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</si>
  <si>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</si>
  <si>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</si>
  <si>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</si>
  <si>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</si>
  <si>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</si>
  <si>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</si>
  <si>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</si>
  <si>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</si>
  <si>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</si>
  <si>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</si>
  <si>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</si>
  <si>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</si>
  <si>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</si>
  <si>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</si>
  <si>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</si>
  <si>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</si>
  <si>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</si>
  <si>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</si>
  <si>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</si>
  <si>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</si>
  <si>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</si>
  <si>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</si>
  <si>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</si>
  <si>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</si>
  <si>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</si>
  <si>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</si>
  <si>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</si>
  <si>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</si>
  <si>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</si>
  <si>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</si>
  <si>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</si>
  <si>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</si>
  <si>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</si>
  <si>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</si>
  <si>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</si>
  <si>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</si>
  <si>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</si>
  <si>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</si>
  <si>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</si>
  <si>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</si>
  <si>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</si>
  <si>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</si>
  <si>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</si>
  <si>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</si>
  <si>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</si>
  <si>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</si>
  <si>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</si>
  <si>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</si>
  <si>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</si>
  <si>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</si>
  <si>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</si>
  <si>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</si>
  <si>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</si>
  <si>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</si>
  <si>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</si>
  <si>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</si>
  <si>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</si>
  <si>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</si>
  <si>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</si>
  <si>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</si>
  <si>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</si>
  <si>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</si>
  <si>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</si>
  <si>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</si>
  <si>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</si>
  <si>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</si>
  <si>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</si>
  <si>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</si>
  <si>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</si>
  <si>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</si>
  <si>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</si>
  <si>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</si>
  <si>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</si>
  <si>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</si>
  <si>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</si>
  <si>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</si>
  <si>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</si>
  <si>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</si>
  <si>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</si>
  <si>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</si>
  <si>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</si>
  <si>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</si>
  <si>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</si>
  <si>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</si>
  <si>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</si>
  <si>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</si>
  <si>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</si>
  <si>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</si>
  <si>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</si>
  <si>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</si>
  <si>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</si>
  <si>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</si>
  <si>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</si>
  <si>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</si>
  <si>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</si>
  <si>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</si>
  <si>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</si>
  <si>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</si>
  <si>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</si>
  <si>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</si>
  <si>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</si>
  <si>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</si>
  <si>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</si>
  <si>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</si>
  <si>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</si>
  <si>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</si>
  <si>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</si>
  <si>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</si>
  <si>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</si>
  <si>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</si>
  <si>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</si>
  <si>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</si>
  <si>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</si>
  <si>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</si>
  <si>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</si>
  <si>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</si>
  <si>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</si>
  <si>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</si>
  <si>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</si>
  <si>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</si>
  <si>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</si>
  <si>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</si>
  <si>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</si>
  <si>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</si>
  <si>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</si>
  <si>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</si>
  <si>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</si>
  <si>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</si>
  <si>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</si>
  <si>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</si>
  <si>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</si>
  <si>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</si>
  <si>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</si>
  <si>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</si>
  <si>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</si>
  <si>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</si>
  <si>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</si>
  <si>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</si>
  <si>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</si>
  <si>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</si>
  <si>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</si>
  <si>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</si>
  <si>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</si>
  <si>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</si>
  <si>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</si>
  <si>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</si>
  <si>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</si>
  <si>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</si>
  <si>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</si>
  <si>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</si>
  <si>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</si>
  <si>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</si>
  <si>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</si>
  <si>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</si>
  <si>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</si>
  <si>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</si>
  <si>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</si>
  <si>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</si>
  <si>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</si>
  <si>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</si>
  <si>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</si>
  <si>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</si>
  <si>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</si>
  <si>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</si>
  <si>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</si>
  <si>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</si>
  <si>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</si>
  <si>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</si>
  <si>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</si>
  <si>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</si>
  <si>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</si>
  <si>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</si>
  <si>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</si>
  <si>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</si>
  <si>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</si>
  <si>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</si>
  <si>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</si>
  <si>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</si>
  <si>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</si>
  <si>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</si>
  <si>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</si>
  <si>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</si>
  <si>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</si>
  <si>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</si>
  <si>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</si>
  <si>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</si>
  <si>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</si>
  <si>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</si>
  <si>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</si>
  <si>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</si>
  <si>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</si>
  <si>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</si>
  <si>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</si>
  <si>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</si>
  <si>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</si>
  <si>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</si>
  <si>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</si>
  <si>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</si>
  <si>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</si>
  <si>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</si>
  <si>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</si>
  <si>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</si>
  <si>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</si>
  <si>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</si>
  <si>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</si>
  <si>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</si>
  <si>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</si>
  <si>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</si>
  <si>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Sungailiat</t>
  </si>
  <si>
    <t>Bangka</t>
  </si>
  <si>
    <t>Kabupaten</t>
  </si>
  <si>
    <t>Pangkalan</t>
  </si>
  <si>
    <t>Pangkal Pinang</t>
  </si>
  <si>
    <t>Dowa Metaltech Co., Ltd.</t>
  </si>
  <si>
    <t>Oruro</t>
  </si>
  <si>
    <t>Cercado</t>
  </si>
  <si>
    <t>Rondônia</t>
  </si>
  <si>
    <t>Halsbrücke</t>
  </si>
  <si>
    <t>Saxony</t>
  </si>
  <si>
    <t>Chmielów</t>
  </si>
  <si>
    <t>Subcarpathian Voivodeship</t>
  </si>
  <si>
    <t>Gejiu Zili Mining And Metallurgy Co., Ltd.</t>
  </si>
  <si>
    <t>Ganzhou</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</si>
  <si>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</si>
  <si>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</si>
  <si>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</si>
  <si>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</si>
  <si>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</si>
  <si>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</si>
  <si>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</si>
  <si>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</si>
  <si>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</si>
  <si>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</si>
  <si>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</si>
  <si>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</si>
  <si>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</si>
  <si>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</si>
  <si>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</si>
  <si>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</si>
  <si>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</si>
  <si>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</si>
  <si>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Chonburi</t>
  </si>
  <si>
    <t>Operaciones Metalurgical S.A.</t>
  </si>
  <si>
    <t>Lintang</t>
  </si>
  <si>
    <t>PT Indra Eramult Logam Industri</t>
  </si>
  <si>
    <t>Kepulauan Riau</t>
  </si>
  <si>
    <t>Karimun</t>
  </si>
  <si>
    <t>Brand RBT</t>
  </si>
  <si>
    <t>West Java</t>
  </si>
  <si>
    <t>PT Timah (Persero) Tbk Kundur</t>
  </si>
  <si>
    <t>Kundur</t>
  </si>
  <si>
    <t>Riau Islands</t>
  </si>
  <si>
    <t>Kundur Smelter</t>
  </si>
  <si>
    <t>Mentok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</si>
  <si>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</si>
  <si>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</si>
  <si>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</si>
  <si>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</si>
  <si>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</si>
  <si>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</si>
  <si>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</si>
  <si>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</si>
  <si>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</si>
  <si>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</si>
  <si>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</si>
  <si>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</si>
  <si>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</si>
  <si>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</si>
  <si>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</si>
  <si>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</si>
  <si>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</si>
  <si>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</si>
  <si>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</si>
  <si>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</si>
  <si>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</si>
  <si>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</si>
  <si>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</si>
  <si>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</si>
  <si>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</si>
  <si>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</si>
  <si>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</si>
  <si>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</si>
  <si>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</si>
  <si>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</si>
  <si>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</si>
  <si>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</si>
  <si>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</si>
  <si>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</si>
  <si>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</si>
  <si>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</si>
  <si>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</si>
  <si>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</si>
  <si>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</si>
  <si>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</si>
  <si>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</si>
  <si>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</si>
  <si>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</si>
  <si>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</si>
  <si>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</si>
  <si>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</si>
  <si>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</si>
  <si>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</si>
  <si>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</si>
  <si>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</si>
  <si>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</si>
  <si>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</si>
  <si>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</si>
  <si>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</si>
  <si>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</si>
  <si>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</si>
  <si>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</si>
  <si>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</si>
  <si>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St. Martin i-S</t>
  </si>
  <si>
    <t>WBH,Wolfram [Austria]</t>
  </si>
  <si>
    <t>WBH</t>
  </si>
  <si>
    <t>Xiamen</t>
  </si>
  <si>
    <t>Shaoguan</t>
  </si>
  <si>
    <t>Shaoguan Xinhai Rendan Tungsten Industry Co. Ltd</t>
  </si>
  <si>
    <t>Gao'an</t>
  </si>
  <si>
    <t>Tonggu</t>
  </si>
  <si>
    <t>Nanfeng Xiaozhai</t>
  </si>
  <si>
    <t>Xiamen H.C.</t>
  </si>
  <si>
    <t>Xiushui</t>
  </si>
  <si>
    <t>Vinh Bao District</t>
  </si>
  <si>
    <t>Hai Phong</t>
  </si>
  <si>
    <t>Dayu Country</t>
  </si>
  <si>
    <t>Dai Tu</t>
  </si>
  <si>
    <t>Thai Nguyen</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</si>
  <si>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</si>
  <si>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</si>
  <si>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</si>
  <si>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</si>
  <si>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</si>
  <si>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</si>
  <si>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</si>
  <si>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</si>
  <si>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</si>
  <si>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</si>
  <si>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</si>
  <si>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</si>
  <si>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</si>
  <si>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</si>
  <si>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</si>
  <si>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</si>
  <si>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</si>
  <si>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</si>
  <si>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</si>
  <si>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</si>
  <si>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</si>
  <si>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</si>
  <si>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</si>
  <si>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</si>
  <si>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</si>
  <si>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</si>
  <si>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</si>
  <si>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</si>
  <si>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</si>
  <si>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</si>
  <si>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</si>
  <si>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</si>
  <si>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</si>
  <si>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</si>
  <si>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</si>
  <si>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</si>
  <si>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</si>
  <si>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</si>
  <si>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</si>
  <si>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</si>
  <si>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</si>
  <si>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</si>
  <si>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</si>
  <si>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</si>
  <si>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</si>
  <si>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</si>
  <si>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</si>
  <si>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</si>
  <si>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</si>
  <si>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</si>
  <si>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</si>
  <si>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</si>
  <si>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</si>
  <si>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</si>
  <si>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</si>
  <si>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</si>
  <si>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</si>
  <si>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</si>
  <si>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</si>
  <si>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</si>
  <si>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</si>
  <si>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</si>
  <si>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</si>
  <si>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</si>
  <si>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</si>
  <si>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</si>
  <si>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</si>
  <si>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</si>
  <si>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</si>
  <si>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</si>
  <si>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</si>
  <si>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</si>
  <si>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</si>
  <si>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</si>
  <si>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</si>
  <si>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</si>
  <si>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</si>
  <si>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</si>
  <si>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</si>
  <si>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</si>
  <si>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</si>
  <si>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</si>
  <si>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</si>
  <si>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</si>
  <si>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</si>
  <si>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</si>
  <si>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</si>
  <si>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</si>
  <si>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</si>
  <si>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</si>
  <si>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</si>
  <si>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</si>
  <si>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</si>
  <si>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</si>
  <si>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</si>
  <si>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</si>
  <si>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</si>
  <si>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</si>
  <si>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</si>
  <si>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</si>
  <si>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</si>
  <si>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</si>
  <si>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</si>
  <si>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</si>
  <si>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</si>
  <si>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</si>
  <si>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</si>
  <si>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</si>
  <si>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</si>
  <si>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</si>
  <si>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</si>
  <si>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</si>
  <si>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</si>
  <si>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</si>
  <si>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</si>
  <si>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</si>
  <si>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</si>
  <si>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</si>
  <si>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</si>
  <si>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</si>
  <si>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</si>
  <si>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</si>
  <si>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</si>
  <si>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</si>
  <si>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</si>
  <si>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</si>
  <si>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</si>
  <si>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</si>
  <si>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</si>
  <si>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</si>
  <si>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</si>
  <si>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</si>
  <si>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</si>
  <si>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</si>
  <si>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</si>
  <si>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</si>
  <si>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</si>
  <si>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</si>
  <si>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</si>
  <si>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</si>
  <si>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</si>
  <si>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</si>
  <si>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</si>
  <si>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</si>
  <si>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</si>
  <si>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</si>
  <si>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</si>
  <si>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</si>
  <si>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</si>
  <si>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</si>
  <si>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</si>
  <si>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</si>
  <si>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</si>
  <si>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</si>
  <si>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</si>
  <si>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</si>
  <si>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</si>
  <si>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</si>
  <si>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</si>
  <si>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</si>
  <si>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</si>
  <si>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</si>
  <si>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</si>
  <si>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</si>
  <si>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</si>
  <si>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</si>
  <si>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</si>
  <si>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</si>
  <si>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</si>
  <si>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</si>
  <si>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</si>
  <si>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</si>
  <si>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</si>
  <si>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</si>
  <si>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</si>
  <si>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</si>
  <si>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</si>
  <si>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</si>
  <si>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</si>
  <si>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</si>
  <si>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</si>
  <si>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</si>
  <si>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</si>
  <si>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</si>
  <si>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</si>
  <si>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</si>
  <si>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</si>
  <si>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</si>
  <si>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</si>
  <si>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</si>
  <si>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</si>
  <si>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</si>
  <si>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</si>
  <si>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</si>
  <si>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</si>
  <si>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</si>
  <si>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</si>
  <si>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</si>
  <si>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</si>
  <si>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</si>
  <si>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</si>
  <si>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</si>
  <si>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</si>
  <si>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</si>
  <si>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</si>
  <si>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</si>
  <si>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</si>
  <si>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</si>
  <si>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</si>
  <si>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</si>
  <si>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</si>
  <si>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</si>
  <si>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</si>
  <si>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</si>
  <si>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</si>
  <si>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</si>
  <si>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</si>
  <si>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</si>
  <si>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</si>
  <si>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</si>
  <si>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</si>
  <si>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</si>
  <si>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</si>
  <si>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</si>
  <si>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</si>
  <si>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</si>
  <si>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</si>
  <si>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</si>
  <si>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</si>
  <si>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</si>
  <si>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</si>
  <si>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</si>
  <si>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</si>
  <si>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</si>
  <si>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</si>
  <si>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</si>
  <si>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</si>
  <si>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</si>
  <si>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</si>
  <si>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</si>
  <si>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</si>
  <si>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</si>
  <si>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</si>
  <si>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</si>
  <si>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</si>
  <si>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</si>
  <si>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</si>
  <si>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</si>
  <si>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</si>
  <si>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</si>
  <si>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</si>
  <si>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</si>
  <si>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</si>
  <si>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</si>
  <si>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</si>
  <si>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</si>
  <si>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</si>
  <si>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</si>
  <si>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</si>
  <si>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</si>
  <si>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</si>
  <si>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</si>
  <si>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</si>
  <si>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</si>
  <si>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</si>
  <si>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</si>
  <si>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</si>
  <si>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</si>
  <si>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</si>
  <si>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</si>
  <si>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</si>
  <si>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</si>
  <si>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</si>
  <si>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</si>
  <si>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</si>
  <si>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</si>
  <si>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</si>
  <si>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</si>
  <si>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</si>
  <si>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</si>
  <si>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</si>
  <si>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</si>
  <si>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</si>
  <si>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</si>
  <si>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</si>
  <si>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</si>
  <si>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</si>
  <si>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</si>
  <si>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</si>
  <si>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</si>
  <si>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</si>
  <si>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</si>
  <si>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</si>
  <si>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</si>
  <si>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</si>
  <si>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</si>
  <si>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</si>
  <si>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</si>
  <si>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</si>
  <si>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</si>
  <si>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</si>
  <si>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</si>
  <si>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</si>
  <si>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</si>
  <si>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</si>
  <si>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</si>
  <si>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</si>
  <si>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</si>
  <si>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</si>
  <si>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</si>
  <si>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</si>
  <si>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</si>
  <si>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</si>
  <si>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</si>
  <si>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</si>
  <si>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</si>
  <si>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</si>
  <si>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</si>
  <si>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</si>
  <si>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</si>
  <si>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</si>
  <si>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</si>
  <si>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</si>
  <si>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</si>
  <si>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</si>
  <si>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</si>
  <si>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</si>
  <si>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</si>
  <si>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</si>
  <si>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</si>
  <si>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</si>
  <si>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</si>
  <si>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</si>
  <si>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</si>
  <si>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</si>
  <si>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</si>
  <si>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</si>
  <si>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</si>
  <si>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</si>
  <si>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</si>
  <si>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</si>
  <si>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</si>
  <si>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</si>
  <si>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</si>
  <si>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</si>
  <si>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</si>
  <si>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</si>
  <si>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</si>
  <si>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</si>
  <si>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</si>
  <si>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</si>
  <si>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</si>
  <si>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</si>
  <si>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</si>
  <si>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</si>
  <si>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</si>
  <si>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</si>
  <si>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</si>
  <si>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</si>
  <si>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</si>
  <si>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</si>
  <si>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</si>
  <si>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</si>
  <si>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</si>
  <si>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</si>
  <si>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</si>
  <si>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</si>
  <si>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</si>
  <si>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</si>
  <si>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</si>
  <si>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</si>
  <si>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</si>
  <si>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</si>
  <si>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</si>
  <si>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</si>
  <si>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</si>
  <si>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</si>
  <si>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</si>
  <si>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</si>
  <si>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</si>
  <si>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</si>
  <si>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</si>
  <si>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</si>
  <si>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</si>
  <si>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</si>
  <si>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</si>
  <si>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</si>
  <si>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</si>
  <si>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</si>
  <si>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</si>
  <si>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</si>
  <si>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</si>
  <si>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</si>
  <si>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</si>
  <si>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</si>
  <si>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</si>
  <si>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</si>
  <si>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</si>
  <si>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</si>
  <si>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</si>
  <si>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</si>
  <si>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</si>
  <si>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</si>
  <si>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</si>
  <si>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</si>
  <si>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</si>
  <si>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</si>
  <si>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</si>
  <si>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</si>
  <si>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</si>
  <si>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</si>
  <si>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</si>
  <si>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</si>
  <si>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</si>
  <si>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</si>
  <si>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</si>
  <si>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</si>
  <si>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</si>
  <si>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</si>
  <si>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</si>
  <si>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</si>
  <si>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</si>
  <si>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</si>
  <si>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</si>
  <si>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</si>
  <si>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</si>
  <si>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</si>
  <si>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</si>
  <si>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</si>
  <si>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</si>
  <si>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</si>
  <si>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</si>
  <si>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</si>
  <si>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</si>
  <si>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</si>
  <si>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</si>
  <si>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</si>
  <si>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</si>
  <si>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</si>
  <si>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</si>
  <si>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</si>
  <si>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</si>
  <si>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</si>
  <si>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</si>
  <si>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</si>
  <si>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</si>
  <si>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</si>
  <si>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</si>
  <si>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</si>
  <si>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</si>
  <si>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</si>
  <si>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</si>
  <si>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</si>
  <si>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</si>
  <si>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</si>
  <si>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</si>
  <si>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</si>
  <si>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</si>
  <si>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</si>
  <si>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</si>
  <si>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</si>
  <si>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</si>
  <si>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</si>
  <si>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</si>
  <si>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</si>
  <si>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</si>
  <si>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</si>
  <si>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</si>
  <si>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</si>
  <si>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</si>
  <si>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</si>
  <si>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</si>
  <si>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</si>
  <si>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</si>
  <si>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</si>
  <si>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</si>
  <si>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</si>
  <si>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</si>
  <si>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</si>
  <si>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</si>
  <si>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</si>
  <si>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</si>
  <si>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</si>
  <si>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</si>
  <si>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</si>
  <si>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</si>
  <si>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</si>
  <si>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</si>
  <si>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</si>
  <si>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</si>
  <si>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</si>
  <si>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</si>
  <si>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</si>
  <si>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</si>
  <si>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</si>
  <si>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</si>
  <si>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</si>
  <si>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</si>
  <si>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</si>
  <si>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</si>
  <si>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</si>
  <si>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</si>
  <si>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</si>
  <si>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</si>
  <si>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</si>
  <si>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</si>
  <si>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</si>
  <si>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</si>
  <si>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</si>
  <si>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</si>
  <si>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</si>
  <si>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</si>
  <si>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</si>
  <si>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</si>
  <si>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</si>
  <si>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</si>
  <si>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</si>
  <si>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</si>
  <si>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</si>
  <si>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</si>
  <si>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</si>
  <si>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</si>
  <si>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</si>
  <si>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</si>
  <si>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</si>
  <si>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</si>
  <si>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</si>
  <si>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</si>
  <si>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</si>
  <si>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</si>
  <si>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</si>
  <si>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</si>
  <si>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</si>
  <si>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</si>
  <si>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</si>
  <si>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</si>
  <si>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</si>
  <si>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</si>
  <si>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</si>
  <si>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</si>
  <si>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Johnson Matthey Inc.</t>
  </si>
  <si>
    <t>Johnson Matthey Limited</t>
  </si>
  <si>
    <t>King-Tan Tantalum Industry Ltd.</t>
  </si>
  <si>
    <t>Kojima Chemicals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</si>
  <si>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</si>
  <si>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</si>
  <si>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</si>
  <si>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</si>
  <si>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</si>
  <si>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</si>
  <si>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</si>
  <si>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</si>
  <si>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</si>
  <si>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</si>
  <si>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Rand Refinery (Pty) Ltd.</t>
  </si>
  <si>
    <t>RFH Tantalum Smeltry Co., Ltd.</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</si>
  <si>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</si>
  <si>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</si>
  <si>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</si>
  <si>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</si>
  <si>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</si>
  <si>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</si>
  <si>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</si>
  <si>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</si>
  <si>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</si>
  <si>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</si>
  <si>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</si>
  <si>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</si>
  <si>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</si>
  <si>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</si>
  <si>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</si>
  <si>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</si>
  <si>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</si>
  <si>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</si>
  <si>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</si>
  <si>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</si>
  <si>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</si>
  <si>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</si>
  <si>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</si>
  <si>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</si>
  <si>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</si>
  <si>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</si>
  <si>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</si>
  <si>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</si>
  <si>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</si>
  <si>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</si>
  <si>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</si>
  <si>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</si>
  <si>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</si>
  <si>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</si>
  <si>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</si>
  <si>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</si>
  <si>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</si>
  <si>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</si>
  <si>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</si>
  <si>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</si>
  <si>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</si>
  <si>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</si>
  <si>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</si>
  <si>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</si>
  <si>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</si>
  <si>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</si>
  <si>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</si>
  <si>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</si>
  <si>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</si>
  <si>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</si>
  <si>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</si>
  <si>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</si>
  <si>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</si>
  <si>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</si>
  <si>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</si>
  <si>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</si>
  <si>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</si>
  <si>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</si>
  <si>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</si>
  <si>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</si>
  <si>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</si>
  <si>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</si>
  <si>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</si>
  <si>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</si>
  <si>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</si>
  <si>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</si>
  <si>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</si>
  <si>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</si>
  <si>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</si>
  <si>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</si>
  <si>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</si>
  <si>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</si>
  <si>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</si>
  <si>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</si>
  <si>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</si>
  <si>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</si>
  <si>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</si>
  <si>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</si>
  <si>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</si>
  <si>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</si>
  <si>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</si>
  <si>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</si>
  <si>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</si>
  <si>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</si>
  <si>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</si>
  <si>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</si>
  <si>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</si>
  <si>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</si>
  <si>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</si>
  <si>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</si>
  <si>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</si>
  <si>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</si>
  <si>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USA Inc.</t>
  </si>
  <si>
    <t>Elemetal Refining, LLC</t>
  </si>
  <si>
    <t>Quezon City</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</si>
  <si>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</si>
  <si>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</si>
  <si>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</si>
  <si>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</si>
  <si>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</si>
  <si>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</si>
  <si>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</si>
  <si>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</si>
  <si>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</si>
  <si>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</si>
  <si>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</si>
  <si>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</si>
  <si>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</si>
  <si>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</si>
  <si>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</si>
  <si>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</si>
  <si>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</si>
  <si>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</si>
  <si>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</si>
  <si>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</si>
  <si>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</si>
  <si>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</si>
  <si>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</si>
  <si>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</si>
  <si>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</si>
  <si>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</si>
  <si>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</si>
  <si>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</si>
  <si>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</si>
  <si>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</si>
  <si>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</si>
  <si>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Denshi Kogyo K.K</t>
  </si>
  <si>
    <t>Zhaoqing Duoluoshan Non-ferrous Metals Co.,Ltd</t>
  </si>
  <si>
    <t>Alpha Metals Korea Ltd.</t>
  </si>
  <si>
    <t>Chengfeng Metals Co Pte Ltd</t>
  </si>
  <si>
    <t>China Rare Metal Material Co., Ltd.</t>
  </si>
  <si>
    <t>China Tin (Hechi)</t>
  </si>
  <si>
    <t>China Tin Lai Ben Smelter Co., Ltd.</t>
  </si>
  <si>
    <t>Empresa Metalúrgica Vinto</t>
  </si>
  <si>
    <t>Jiangxi Nanshan</t>
  </si>
  <si>
    <t>Kai Union Industry and Trade Co., Ltd. (China)</t>
  </si>
  <si>
    <t>Mentok Smelter</t>
  </si>
  <si>
    <t>MSC</t>
  </si>
  <si>
    <t>Smelting Branch of Yunnan Tin Company Ltd</t>
  </si>
  <si>
    <t>Unit Timah Kundur PT Tambang</t>
  </si>
  <si>
    <t>Yunnan Chengfeng</t>
  </si>
  <si>
    <t>ALMT Sumitomo Group</t>
  </si>
  <si>
    <t>ATI Metalworking Products</t>
  </si>
  <si>
    <t>Jiangxi Tungsten Co Ltd</t>
  </si>
  <si>
    <t>PT Sukses Inti Makmur</t>
  </si>
  <si>
    <t>CID002816</t>
  </si>
  <si>
    <t>CID002825</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</si>
  <si>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</si>
  <si>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</si>
  <si>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</si>
  <si>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</si>
  <si>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</si>
  <si>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</si>
  <si>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</si>
  <si>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</si>
  <si>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</si>
  <si>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</si>
  <si>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</si>
  <si>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</si>
  <si>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</si>
  <si>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</si>
  <si>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</si>
  <si>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</si>
  <si>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</si>
  <si>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</si>
  <si>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</si>
  <si>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</si>
  <si>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</si>
  <si>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</si>
  <si>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</si>
  <si>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</si>
  <si>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</si>
  <si>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</si>
  <si>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</si>
  <si>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E.S.R. Electronics</t>
  </si>
  <si>
    <t>CID002590</t>
  </si>
  <si>
    <t>Houston</t>
  </si>
  <si>
    <t>Texas</t>
  </si>
  <si>
    <t>ULBA</t>
  </si>
  <si>
    <t>Chenzhou Yun Xiang mining limited liability company</t>
  </si>
  <si>
    <t>CV Tiga Sekawan</t>
  </si>
  <si>
    <t>CID002593</t>
  </si>
  <si>
    <t>CID002848</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</si>
  <si>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</si>
  <si>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</si>
  <si>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</si>
  <si>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</si>
  <si>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</si>
  <si>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</si>
  <si>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</si>
  <si>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</si>
  <si>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</si>
  <si>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</si>
  <si>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Jiangxi Tuohong New Raw Material</t>
  </si>
  <si>
    <t>CID002842</t>
  </si>
  <si>
    <t>Moliren Ltd</t>
  </si>
  <si>
    <t>CID002845</t>
  </si>
  <si>
    <t>Roshal</t>
  </si>
  <si>
    <t>CID002827</t>
  </si>
  <si>
    <t>Marilao</t>
  </si>
  <si>
    <t>Bulacan</t>
  </si>
  <si>
    <t>South-East Nonferrous Metal Company Limited of Hengyang City</t>
  </si>
  <si>
    <t>CID002815</t>
  </si>
  <si>
    <t>Woltech Korea Co., Ltd.</t>
  </si>
  <si>
    <t>CID002843</t>
  </si>
  <si>
    <t>Gyeongju</t>
  </si>
  <si>
    <t>Gyeongsanbuk</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</si>
  <si>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</si>
  <si>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</si>
  <si>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</si>
  <si>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</si>
  <si>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CV Dua Sekawan</t>
  </si>
  <si>
    <t>CID002592</t>
  </si>
  <si>
    <t>HuiChang Hill Tin Industry Co., Ltd.</t>
  </si>
  <si>
    <t>CID002844</t>
  </si>
  <si>
    <t>CID000228</t>
  </si>
  <si>
    <t>3) Do any of the smelters in your supply chain source the 3TG from the covered countries? (SEC term, see definitions tab)</t>
  </si>
  <si>
    <r>
      <rPr>
        <sz val="10"/>
        <color indexed="8"/>
        <rFont val="Verdana"/>
        <family val="2"/>
      </rPr>
      <t>Türkçe</t>
    </r>
  </si>
  <si>
    <r>
      <rPr>
        <sz val="11"/>
        <color indexed="8"/>
        <rFont val="Verdana"/>
        <family val="2"/>
      </rPr>
      <t>CFSI web sitesi:</t>
    </r>
    <r>
      <rPr>
        <sz val="11"/>
        <color indexed="8"/>
        <rFont val="Verdana"/>
        <family val="2"/>
      </rPr>
      <t xml:space="preserve"> </t>
    </r>
    <r>
      <rPr>
        <sz val="11"/>
        <color indexed="8"/>
        <rFont val="Verdana"/>
        <family val="2"/>
      </rPr>
      <t>(www.conflictfreesourcing.org)</t>
    </r>
    <r>
      <rPr>
        <sz val="11"/>
        <color indexed="8"/>
        <rFont val="Verdana"/>
        <family val="2"/>
      </rPr>
      <t xml:space="preserve">
Eğitim ve kılavuzluk, şablon, İhtilafsız İzabe Tesisi Programı uyumlu izabe tesislerinin listesi</t>
    </r>
  </si>
  <si>
    <r>
      <rPr>
        <sz val="11"/>
        <color indexed="8"/>
        <rFont val="Verdana"/>
        <family val="2"/>
      </rPr>
      <t>Giriş</t>
    </r>
  </si>
  <si>
    <r>
      <rPr>
        <sz val="11"/>
        <color indexed="8"/>
        <rFont val="Verdana"/>
        <family val="2"/>
      </rPr>
      <t>* 2010 yılında, Demokratik Kongo Cumhuriyeti (DKC) ve komşu ülkelerinden gelen “ihtilaf konusu madenler” ile ilgili olarak ABD Dodd-Frank Wall Street Reformu ve Tüketicinin Korunması Kanunu yürürlüğe girmiştir.</t>
    </r>
    <r>
      <rPr>
        <sz val="11"/>
        <color indexed="8"/>
        <rFont val="Verdana"/>
        <family val="2"/>
      </rPr>
      <t xml:space="preserve"> </t>
    </r>
    <r>
      <rPr>
        <sz val="11"/>
        <color indexed="8"/>
        <rFont val="Verdana"/>
        <family val="2"/>
      </rPr>
      <t>SEC, ABD'de yer alan halka açık şirketlerin ihtilaf konusu madenlerin kaynağını açıklaması ile ilgili nihai kuralları yayınlamıştır (kuralları http://www.sec.gov/rules/final/2012/34-67716.pdf adresinde görebilirsiniz).</t>
    </r>
    <r>
      <rPr>
        <sz val="11"/>
        <color indexed="8"/>
        <rFont val="Verdana"/>
        <family val="2"/>
      </rPr>
      <t xml:space="preserve"> </t>
    </r>
    <r>
      <rPr>
        <sz val="11"/>
        <color indexed="8"/>
        <rFont val="Verdana"/>
        <family val="2"/>
      </rPr>
      <t>Kurallar, tedarikçilerin politika, durum tespiti çerçevesi ve yönetim sistemi oluşturabilmesi için kılavuzluk sunan İhtilaftan Etkilenen ya da Yüksek Riskli Alanlardan elde edilen Madenlerin Sorumlu Tedarik Zinciri için OECD Durum Tespiti Kılavuzuna (http://www.oecd.org/daf/inv/mne/GuidanceEdition2.pdf) atıfta bulunmaktadır.</t>
    </r>
    <r>
      <rPr>
        <sz val="11"/>
        <color indexed="8"/>
        <rFont val="Verdana"/>
        <family val="2"/>
      </rPr>
      <t xml:space="preserve">
** İhtilafsız Kaynak Edinme Girişimi ile ilgili bilgileri inceleyin (www.conflictfreesourcing.org).</t>
    </r>
  </si>
  <si>
    <r>
      <rPr>
        <sz val="11"/>
        <color indexed="8"/>
        <rFont val="Verdana"/>
        <family val="2"/>
      </rPr>
      <t>Şirket Bilgi sorularının yanıtlanması için talimatlar (8 ila 22 arası satırlar).</t>
    </r>
    <r>
      <rPr>
        <sz val="11"/>
        <color indexed="8"/>
        <rFont val="Verdana"/>
        <family val="2"/>
      </rPr>
      <t xml:space="preserve">
Açıklamaları yalnızca İNGİLİZCE olarak yapın</t>
    </r>
  </si>
  <si>
    <r>
      <rPr>
        <sz val="11"/>
        <color indexed="8"/>
        <rFont val="Verdana"/>
        <family val="2"/>
      </rPr>
      <t xml:space="preserve"> Not:</t>
    </r>
    <r>
      <rPr>
        <sz val="11"/>
        <color indexed="8"/>
        <rFont val="Verdana"/>
        <family val="2"/>
      </rPr>
      <t xml:space="preserve"> </t>
    </r>
    <r>
      <rPr>
        <sz val="11"/>
        <color indexed="8"/>
        <rFont val="Verdana"/>
        <family val="2"/>
      </rPr>
      <t>(*) ile işaretlenmiş alanların doldurulması zorunludur.</t>
    </r>
    <r>
      <rPr>
        <sz val="11"/>
        <color indexed="8"/>
        <rFont val="Verdana"/>
        <family val="2"/>
      </rPr>
      <t xml:space="preserve"> </t>
    </r>
  </si>
  <si>
    <r>
      <rPr>
        <sz val="11"/>
        <color indexed="8"/>
        <rFont val="Verdana"/>
        <family val="2"/>
      </rPr>
      <t>2.</t>
    </r>
    <r>
      <rPr>
        <sz val="11"/>
        <color indexed="8"/>
        <rFont val="Verdana"/>
        <family val="2"/>
      </rPr>
      <t xml:space="preserve"> </t>
    </r>
    <r>
      <rPr>
        <sz val="11"/>
        <color indexed="8"/>
        <rFont val="Verdana"/>
        <family val="2"/>
      </rPr>
      <t>Şirketinizin Beyan Kapsamını seçin.</t>
    </r>
    <r>
      <rPr>
        <sz val="11"/>
        <color indexed="8"/>
        <rFont val="Verdana"/>
        <family val="2"/>
      </rPr>
      <t xml:space="preserve"> </t>
    </r>
    <r>
      <rPr>
        <sz val="11"/>
        <color indexed="8"/>
        <rFont val="Verdana"/>
        <family val="2"/>
      </rPr>
      <t>Kapsam seçenekleri aşağıdaki gibidir:</t>
    </r>
    <r>
      <rPr>
        <sz val="11"/>
        <color indexed="8"/>
        <rFont val="Verdana"/>
        <family val="2"/>
      </rPr>
      <t xml:space="preserve">
A.</t>
    </r>
    <r>
      <rPr>
        <sz val="11"/>
        <color indexed="8"/>
        <rFont val="Verdana"/>
        <family val="2"/>
      </rPr>
      <t xml:space="preserve"> </t>
    </r>
    <r>
      <rPr>
        <sz val="11"/>
        <color indexed="8"/>
        <rFont val="Verdana"/>
        <family val="2"/>
      </rPr>
      <t>Şirket geneli</t>
    </r>
    <r>
      <rPr>
        <sz val="11"/>
        <color indexed="8"/>
        <rFont val="Verdana"/>
        <family val="2"/>
      </rPr>
      <t xml:space="preserve">
B. Ürün (veya Ürün Listesi)</t>
    </r>
    <r>
      <rPr>
        <sz val="11"/>
        <color indexed="8"/>
        <rFont val="Verdana"/>
        <family val="2"/>
      </rPr>
      <t xml:space="preserve">
C. Kullanıcı Tanımlı </t>
    </r>
    <r>
      <rPr>
        <sz val="11"/>
        <color indexed="8"/>
        <rFont val="Verdana"/>
        <family val="2"/>
      </rPr>
      <t xml:space="preserve">
“Şirket geneli” seçeneklerinde, beyan bir şirketin tüm ürünlerini veya ana şirket tarafından üretilen ürün maddelerinin tamamını kapsar.</t>
    </r>
    <r>
      <rPr>
        <sz val="11"/>
        <color indexed="8"/>
        <rFont val="Verdana"/>
        <family val="2"/>
      </rPr>
      <t xml:space="preserve"> </t>
    </r>
    <r>
      <rPr>
        <sz val="11"/>
        <color indexed="8"/>
        <rFont val="Verdana"/>
        <family val="2"/>
      </rPr>
      <t xml:space="preserve">Bu nedenle bir kullanıcının şirket düzeyinde </t>
    </r>
    <r>
      <rPr>
        <b/>
        <sz val="11"/>
        <color indexed="8"/>
        <rFont val="Verdana"/>
        <family val="2"/>
      </rPr>
      <t>3TG</t>
    </r>
    <r>
      <rPr>
        <sz val="11"/>
        <color indexed="8"/>
        <rFont val="Verdana"/>
        <family val="2"/>
      </rPr>
      <t xml:space="preserve"> verilerini bildirmesi, ürettikleri tüm maden ürünleri ile ilgili ihtilaf içeren maden verilerini bildirmesi anlamına gelecektir.</t>
    </r>
    <r>
      <rPr>
        <sz val="11"/>
        <color indexed="8"/>
        <rFont val="Verdana"/>
        <family val="2"/>
      </rPr>
      <t xml:space="preserve"> </t>
    </r>
    <r>
      <rPr>
        <sz val="11"/>
        <color indexed="8"/>
        <rFont val="Verdana"/>
        <family val="2"/>
      </rPr>
      <t xml:space="preserve">
Ürün (veya Ürün Listesi) kapsamı seçildiğinde, Ürün Listesi için çalışma sayfasına yönlendiren bir bağlantı görüntülenecektir.</t>
    </r>
    <r>
      <rPr>
        <sz val="11"/>
        <color indexed="8"/>
        <rFont val="Verdana"/>
        <family val="2"/>
      </rPr>
      <t xml:space="preserve"> </t>
    </r>
    <r>
      <rPr>
        <sz val="11"/>
        <color indexed="8"/>
        <rFont val="Verdana"/>
        <family val="2"/>
      </rPr>
      <t>Bu kapsamın seçilmesi durumunda, Ürün Listesi çalışma sayfasının B Sütununda bu Beyan Kapsamındaki ürünlerin İmalatçı Ürün Numarasının da girilmesi gerekmektedir.</t>
    </r>
    <r>
      <rPr>
        <sz val="11"/>
        <color indexed="8"/>
        <rFont val="Verdana"/>
        <family val="2"/>
      </rPr>
      <t xml:space="preserve"> </t>
    </r>
    <r>
      <rPr>
        <sz val="11"/>
        <color indexed="8"/>
        <rFont val="Verdana"/>
        <family val="2"/>
      </rPr>
      <t>İmalatçı Ürün Numarası, Ürün Listesi çalışma sayfasının C Sütununda da verilebilir.</t>
    </r>
    <r>
      <rPr>
        <sz val="11"/>
        <color indexed="8"/>
        <rFont val="Verdana"/>
        <family val="2"/>
      </rPr>
      <t xml:space="preserve">
“Kullanıcı Tanımlı” kapsamı seçildiğinde, kullanıcının </t>
    </r>
    <r>
      <rPr>
        <b/>
        <sz val="11"/>
        <color indexed="8"/>
        <rFont val="Verdana"/>
        <family val="2"/>
      </rPr>
      <t>3TG</t>
    </r>
    <r>
      <rPr>
        <sz val="11"/>
        <color indexed="8"/>
        <rFont val="Verdana"/>
        <family val="2"/>
      </rPr>
      <t xml:space="preserve"> açıklamasına karşılık gelen kapsamı açıklaması gerekmektedir.</t>
    </r>
    <r>
      <rPr>
        <sz val="11"/>
        <color indexed="8"/>
        <rFont val="Verdana"/>
        <family val="2"/>
      </rPr>
      <t xml:space="preserve"> </t>
    </r>
    <r>
      <rPr>
        <sz val="11"/>
        <color indexed="8"/>
        <rFont val="Verdana"/>
        <family val="2"/>
      </rPr>
      <t>Bu tür bir kapsam tedarikçi tarafından bir metin alanında belirtilmeli ve müşteriler ya da belge alıcıları tarafından kolayca anlaşılabilecek biçimde olmalıdır.</t>
    </r>
    <r>
      <rPr>
        <sz val="11"/>
        <color indexed="8"/>
        <rFont val="Verdana"/>
        <family val="2"/>
      </rPr>
      <t xml:space="preserve"> </t>
    </r>
    <r>
      <rPr>
        <sz val="11"/>
        <color indexed="8"/>
        <rFont val="Verdana"/>
        <family val="2"/>
      </rPr>
      <t>Örnek olarak, şirketler bilgileri netleştirmek adına bağlantı sunabilir.</t>
    </r>
    <r>
      <rPr>
        <sz val="11"/>
        <color indexed="8"/>
        <rFont val="Verdana"/>
        <family val="2"/>
      </rPr>
      <t xml:space="preserve">
Bu alanın doldurulması zorunludur.</t>
    </r>
  </si>
  <si>
    <r>
      <rPr>
        <sz val="11"/>
        <color indexed="8"/>
        <rFont val="Verdana"/>
        <family val="2"/>
      </rPr>
      <t>3.</t>
    </r>
    <r>
      <rPr>
        <sz val="11"/>
        <color indexed="8"/>
        <rFont val="Verdana"/>
        <family val="2"/>
      </rPr>
      <t xml:space="preserve"> </t>
    </r>
    <r>
      <rPr>
        <sz val="11"/>
        <color indexed="8"/>
        <rFont val="Verdana"/>
        <family val="2"/>
      </rPr>
      <t>Şirketinizin benzersiz tanımlayıcı numarasını ya da kodunu girin (DUNS numarası, KDV numarası, müşteriye özgü tanımlayıcı, vs.)</t>
    </r>
  </si>
  <si>
    <r>
      <rPr>
        <sz val="11"/>
        <color indexed="8"/>
        <rFont val="Verdana"/>
        <family val="2"/>
      </rPr>
      <t>4.</t>
    </r>
    <r>
      <rPr>
        <sz val="11"/>
        <color indexed="8"/>
        <rFont val="Verdana"/>
        <family val="2"/>
      </rPr>
      <t xml:space="preserve"> </t>
    </r>
    <r>
      <rPr>
        <sz val="11"/>
        <color indexed="8"/>
        <rFont val="Verdana"/>
        <family val="2"/>
      </rPr>
      <t>Benzers</t>
    </r>
    <r>
      <rPr>
        <sz val="11"/>
        <color indexed="8"/>
        <rFont val="Verdana"/>
        <family val="2"/>
      </rPr>
      <t>iz tanımlayıcı numarası veya kod için kaynağı girin ("DUNS", "VAT", "Müşteri", vs.).</t>
    </r>
    <r>
      <rPr>
        <sz val="11"/>
        <color indexed="8"/>
        <rFont val="Verdana"/>
        <family val="2"/>
      </rPr>
      <t xml:space="preserve"> </t>
    </r>
  </si>
  <si>
    <r>
      <rPr>
        <sz val="11"/>
        <color indexed="8"/>
        <rFont val="Verdana"/>
        <family val="2"/>
      </rPr>
      <t>5.</t>
    </r>
    <r>
      <rPr>
        <sz val="11"/>
        <color indexed="8"/>
        <rFont val="Verdana"/>
        <family val="2"/>
      </rPr>
      <t xml:space="preserve"> </t>
    </r>
    <r>
      <rPr>
        <sz val="11"/>
        <color indexed="8"/>
        <rFont val="Verdana"/>
        <family val="2"/>
      </rPr>
      <t>Şirketinizin açık adresini girin (cadde, şehir, eyalet, ülke, posta kodu).</t>
    </r>
    <r>
      <rPr>
        <sz val="11"/>
        <color indexed="8"/>
        <rFont val="Verdana"/>
        <family val="2"/>
      </rPr>
      <t xml:space="preserve"> </t>
    </r>
    <r>
      <rPr>
        <sz val="11"/>
        <color indexed="8"/>
        <rFont val="Verdana"/>
        <family val="2"/>
      </rPr>
      <t>Bu alanın doldurulması isteğe bağlıdır.</t>
    </r>
  </si>
  <si>
    <r>
      <rPr>
        <sz val="11"/>
        <color indexed="8"/>
        <rFont val="Verdana"/>
        <family val="2"/>
      </rPr>
      <t>6.</t>
    </r>
    <r>
      <rPr>
        <sz val="11"/>
        <color indexed="8"/>
        <rFont val="Verdana"/>
        <family val="2"/>
      </rPr>
      <t xml:space="preserve"> </t>
    </r>
    <r>
      <rPr>
        <sz val="11"/>
        <color indexed="8"/>
        <rFont val="Verdana"/>
        <family val="2"/>
      </rPr>
      <t>Beyan bilgilerinin içeriği ile ilgili olarak temasa geçilecek kişinin adını girin.</t>
    </r>
    <r>
      <rPr>
        <sz val="11"/>
        <color indexed="8"/>
        <rFont val="Verdana"/>
        <family val="2"/>
      </rPr>
      <t xml:space="preserve"> </t>
    </r>
    <r>
      <rPr>
        <sz val="11"/>
        <color indexed="8"/>
        <rFont val="Verdana"/>
        <family val="2"/>
      </rPr>
      <t>Bu alanın doldurulması zorunludur.</t>
    </r>
  </si>
  <si>
    <r>
      <rPr>
        <sz val="11"/>
        <color indexed="8"/>
        <rFont val="Verdana"/>
        <family val="2"/>
      </rPr>
      <t>7.</t>
    </r>
    <r>
      <rPr>
        <sz val="11"/>
        <color indexed="8"/>
        <rFont val="Verdana"/>
        <family val="2"/>
      </rPr>
      <t xml:space="preserve"> </t>
    </r>
    <r>
      <rPr>
        <sz val="11"/>
        <color indexed="8"/>
        <rFont val="Verdana"/>
        <family val="2"/>
      </rPr>
      <t>İrtibata geçilecek kişinin e-posta adresini girin.</t>
    </r>
    <r>
      <rPr>
        <sz val="11"/>
        <color indexed="8"/>
        <rFont val="Verdana"/>
        <family val="2"/>
      </rPr>
      <t xml:space="preserve"> </t>
    </r>
    <r>
      <rPr>
        <sz val="11"/>
        <color indexed="8"/>
        <rFont val="Verdana"/>
        <family val="2"/>
      </rPr>
      <t>Bir e-posta adresinin bulunm</t>
    </r>
    <r>
      <rPr>
        <sz val="11"/>
        <color indexed="8"/>
        <rFont val="Verdana"/>
        <family val="2"/>
      </rPr>
      <t>adığı durumlarda “uygun değil” veya “yok” yazın. Alanın boş bırakılması formun gönderimi sırasında hata oluşmasına neden olabilir.</t>
    </r>
    <r>
      <rPr>
        <sz val="11"/>
        <color indexed="8"/>
        <rFont val="Verdana"/>
        <family val="2"/>
      </rPr>
      <t xml:space="preserve"> </t>
    </r>
    <r>
      <rPr>
        <sz val="11"/>
        <color indexed="8"/>
        <rFont val="Verdana"/>
        <family val="2"/>
      </rPr>
      <t>Bu alanın doldurulması zorunludur.</t>
    </r>
  </si>
  <si>
    <r>
      <rPr>
        <sz val="11"/>
        <color indexed="8"/>
        <rFont val="Verdana"/>
        <family val="2"/>
      </rPr>
      <t>8.</t>
    </r>
    <r>
      <rPr>
        <sz val="11"/>
        <color indexed="8"/>
        <rFont val="Verdana"/>
        <family val="2"/>
      </rPr>
      <t xml:space="preserve"> </t>
    </r>
    <r>
      <rPr>
        <sz val="11"/>
        <color indexed="8"/>
        <rFont val="Verdana"/>
        <family val="2"/>
      </rPr>
      <t>İrtibat kişisinin telefon numarasını girin.</t>
    </r>
    <r>
      <rPr>
        <sz val="11"/>
        <color indexed="8"/>
        <rFont val="Verdana"/>
        <family val="2"/>
      </rPr>
      <t xml:space="preserve"> </t>
    </r>
    <r>
      <rPr>
        <sz val="11"/>
        <color indexed="8"/>
        <rFont val="Verdana"/>
        <family val="2"/>
      </rPr>
      <t>Bu alanın doldurulması zorunludur.</t>
    </r>
  </si>
  <si>
    <r>
      <rPr>
        <sz val="11"/>
        <color indexed="8"/>
        <rFont val="Verdana"/>
        <family val="2"/>
      </rPr>
      <t>9.</t>
    </r>
    <r>
      <rPr>
        <sz val="11"/>
        <color indexed="8"/>
        <rFont val="Verdana"/>
        <family val="2"/>
      </rPr>
      <t xml:space="preserve"> </t>
    </r>
    <r>
      <rPr>
        <sz val="11"/>
        <color indexed="8"/>
        <rFont val="Verdana"/>
        <family val="2"/>
      </rPr>
      <t>Beyan bilgilerinin içeriğinden sorumlu kişinin adını girin.</t>
    </r>
    <r>
      <rPr>
        <sz val="11"/>
        <color indexed="8"/>
        <rFont val="Verdana"/>
        <family val="2"/>
      </rPr>
      <t xml:space="preserve"> </t>
    </r>
    <r>
      <rPr>
        <sz val="11"/>
        <color indexed="8"/>
        <rFont val="Verdana"/>
        <family val="2"/>
      </rPr>
      <t>İzin yetkilisi, irtibat kişisinden farklı bir kişi olabilir.</t>
    </r>
    <r>
      <rPr>
        <sz val="11"/>
        <color indexed="8"/>
        <rFont val="Verdana"/>
        <family val="2"/>
      </rPr>
      <t xml:space="preserve"> </t>
    </r>
    <r>
      <rPr>
        <sz val="11"/>
        <color indexed="8"/>
        <rFont val="Verdana"/>
        <family val="2"/>
      </rPr>
      <t>İzin yetkilisinin adı belirtilirken “aynı” gibi ifadelerin kullanılması doğru olmayacaktır.</t>
    </r>
    <r>
      <rPr>
        <sz val="11"/>
        <color indexed="8"/>
        <rFont val="Verdana"/>
        <family val="2"/>
      </rPr>
      <t xml:space="preserve"> </t>
    </r>
    <r>
      <rPr>
        <sz val="11"/>
        <color indexed="8"/>
        <rFont val="Verdana"/>
        <family val="2"/>
      </rPr>
      <t>Bu alanın doldurulması zorunludur.</t>
    </r>
  </si>
  <si>
    <r>
      <rPr>
        <sz val="11"/>
        <color indexed="8"/>
        <rFont val="Verdana"/>
        <family val="2"/>
      </rPr>
      <t>10.</t>
    </r>
    <r>
      <rPr>
        <sz val="11"/>
        <color indexed="8"/>
        <rFont val="Verdana"/>
        <family val="2"/>
      </rPr>
      <t xml:space="preserve"> </t>
    </r>
    <r>
      <rPr>
        <sz val="11"/>
        <color indexed="8"/>
        <rFont val="Verdana"/>
        <family val="2"/>
      </rPr>
      <t>İzin yetkilisinin unvanını girin.</t>
    </r>
    <r>
      <rPr>
        <sz val="11"/>
        <color indexed="8"/>
        <rFont val="Verdana"/>
        <family val="2"/>
      </rPr>
      <t xml:space="preserve"> </t>
    </r>
    <r>
      <rPr>
        <sz val="11"/>
        <color indexed="8"/>
        <rFont val="Verdana"/>
        <family val="2"/>
      </rPr>
      <t>Bu alanın doldurulması isteğe bağlıdır.</t>
    </r>
  </si>
  <si>
    <r>
      <rPr>
        <sz val="11"/>
        <color indexed="8"/>
        <rFont val="Verdana"/>
        <family val="2"/>
      </rPr>
      <t>11.</t>
    </r>
    <r>
      <rPr>
        <sz val="11"/>
        <color indexed="8"/>
        <rFont val="Verdana"/>
        <family val="2"/>
      </rPr>
      <t xml:space="preserve"> </t>
    </r>
    <r>
      <rPr>
        <sz val="11"/>
        <color indexed="8"/>
        <rFont val="Verdana"/>
        <family val="2"/>
      </rPr>
      <t>İzin yetkilisinin e-posta adresini girin.</t>
    </r>
    <r>
      <rPr>
        <sz val="11"/>
        <color indexed="8"/>
        <rFont val="Verdana"/>
        <family val="2"/>
      </rPr>
      <t xml:space="preserve"> </t>
    </r>
    <r>
      <rPr>
        <sz val="11"/>
        <color indexed="8"/>
        <rFont val="Verdana"/>
        <family val="2"/>
      </rPr>
      <t>Bir e-posta adresinin bulunmadığı durumlarda “uygun değil” veya “yok” yazın. Alanın boş bırakılması formun gönderimi sırasında hata oluşmasına neden olabilir.</t>
    </r>
    <r>
      <rPr>
        <sz val="11"/>
        <color indexed="8"/>
        <rFont val="Verdana"/>
        <family val="2"/>
      </rPr>
      <t xml:space="preserve"> </t>
    </r>
    <r>
      <rPr>
        <sz val="11"/>
        <color indexed="8"/>
        <rFont val="Verdana"/>
        <family val="2"/>
      </rPr>
      <t>Bu alanın doldurulması zorunludur.</t>
    </r>
  </si>
  <si>
    <r>
      <rPr>
        <sz val="11"/>
        <color indexed="8"/>
        <rFont val="Verdana"/>
        <family val="2"/>
      </rPr>
      <t>12.</t>
    </r>
    <r>
      <rPr>
        <sz val="11"/>
        <color indexed="8"/>
        <rFont val="Verdana"/>
        <family val="2"/>
      </rPr>
      <t xml:space="preserve"> </t>
    </r>
    <r>
      <rPr>
        <sz val="11"/>
        <color indexed="8"/>
        <rFont val="Verdana"/>
        <family val="2"/>
      </rPr>
      <t>İzin yetkilisinin telefon numarasını girin.</t>
    </r>
    <r>
      <rPr>
        <sz val="11"/>
        <color indexed="8"/>
        <rFont val="Verdana"/>
        <family val="2"/>
      </rPr>
      <t xml:space="preserve"> </t>
    </r>
    <r>
      <rPr>
        <sz val="11"/>
        <color indexed="8"/>
        <rFont val="Verdana"/>
        <family val="2"/>
      </rPr>
      <t>Bu alanın doldurulması zorunludur.</t>
    </r>
  </si>
  <si>
    <r>
      <rPr>
        <sz val="11"/>
        <color indexed="8"/>
        <rFont val="Verdana"/>
        <family val="2"/>
      </rPr>
      <t>13.</t>
    </r>
    <r>
      <rPr>
        <sz val="11"/>
        <color indexed="8"/>
        <rFont val="Verdana"/>
        <family val="2"/>
      </rPr>
      <t xml:space="preserve"> </t>
    </r>
    <r>
      <rPr>
        <sz val="11"/>
        <color indexed="8"/>
        <rFont val="Verdana"/>
        <family val="2"/>
      </rPr>
      <t>Lütfen GG-AAA-YYYY biçiminde bu formun Doldurulma Tarihini girin.</t>
    </r>
    <r>
      <rPr>
        <sz val="11"/>
        <color indexed="8"/>
        <rFont val="Verdana"/>
        <family val="2"/>
      </rPr>
      <t xml:space="preserve"> </t>
    </r>
    <r>
      <rPr>
        <sz val="11"/>
        <color indexed="8"/>
        <rFont val="Verdana"/>
        <family val="2"/>
      </rPr>
      <t>Bu alanın doldurulması zorunludur.</t>
    </r>
  </si>
  <si>
    <r>
      <rPr>
        <sz val="11"/>
        <color indexed="8"/>
        <rFont val="Verdana"/>
        <family val="2"/>
      </rPr>
      <t>14.</t>
    </r>
    <r>
      <rPr>
        <sz val="11"/>
        <color indexed="8"/>
        <rFont val="Verdana"/>
        <family val="2"/>
      </rPr>
      <t xml:space="preserve"> </t>
    </r>
    <r>
      <rPr>
        <sz val="11"/>
        <color indexed="8"/>
        <rFont val="Verdana"/>
        <family val="2"/>
      </rPr>
      <t>Örnek olarak, kullanıcı dosyayı sirketadi-tarih.xls (tarih YYYY-AA-GG) şeklinde kaydedebilir.</t>
    </r>
    <r>
      <rPr>
        <sz val="11"/>
        <color indexed="8"/>
        <rFont val="Verdana"/>
        <family val="2"/>
      </rPr>
      <t xml:space="preserve"> </t>
    </r>
  </si>
  <si>
    <r>
      <rPr>
        <sz val="11"/>
        <color indexed="8"/>
        <rFont val="Verdana"/>
        <family val="2"/>
      </rPr>
      <t>Yedi Durum Tespiti Sorusunun cevaplanması için talimatlar (24 ila 65 arası satırlar).</t>
    </r>
    <r>
      <rPr>
        <sz val="11"/>
        <color indexed="8"/>
        <rFont val="Verdana"/>
        <family val="2"/>
      </rPr>
      <t xml:space="preserve">
Yanıtları yalnızca İNGİLİZCE olarak verin</t>
    </r>
  </si>
  <si>
    <r>
      <rPr>
        <sz val="10"/>
        <color indexed="8"/>
        <rFont val="Verdana"/>
        <family val="2"/>
      </rPr>
      <t>Bu yedi soru, metallerden her biri için kullanım, menşe ve kaynak tanımlaması sağlar.</t>
    </r>
    <r>
      <rPr>
        <sz val="10"/>
        <color indexed="8"/>
        <rFont val="Verdana"/>
        <family val="2"/>
      </rPr>
      <t xml:space="preserve"> </t>
    </r>
    <r>
      <rPr>
        <sz val="10"/>
        <color indexed="8"/>
        <rFont val="Verdana"/>
        <family val="2"/>
      </rPr>
      <t>Sorular düzenleyici kurumlar açısından uygunluğun tanımlanabilmesi için şirket ürünlerinde 3TG kullanımı hakkında bilgi toplamayı amaçlamaktadır.</t>
    </r>
    <r>
      <rPr>
        <sz val="10"/>
        <color indexed="8"/>
        <rFont val="Verdana"/>
        <family val="2"/>
      </rPr>
      <t xml:space="preserve"> </t>
    </r>
    <r>
      <rPr>
        <sz val="10"/>
        <color indexed="8"/>
        <rFont val="Verdana"/>
        <family val="2"/>
      </rPr>
      <t>Bu sorulara verilecek yanıtlar, şirket bilgileri bölümünde seçilen ‘Beyan Kapsamı’ bölümüne uygun olmalıdır. Bu bölümdeki sorulara verilen yanıtlar 3TG bildiriminin uygulanabilirliği ve eksiksizliğini belirlemek için kullanılabilir.</t>
    </r>
  </si>
  <si>
    <r>
      <rPr>
        <sz val="10"/>
        <color indexed="8"/>
        <rFont val="Verdana"/>
        <family val="2"/>
      </rPr>
      <t>Zorunlu yedi sorunun her birinde, açılır menü seçimlerini kullanarak her bir metal için bir yanıt verin. Bu bölümdeki sorular tüm 3TG'ler için doldurulmalıdır.</t>
    </r>
    <r>
      <rPr>
        <sz val="10"/>
        <color indexed="8"/>
        <rFont val="Verdana"/>
        <family val="2"/>
      </rPr>
      <t xml:space="preserve"> </t>
    </r>
    <r>
      <rPr>
        <sz val="10"/>
        <color indexed="8"/>
        <rFont val="Verdana"/>
        <family val="2"/>
      </rPr>
      <t>Bir metal ile ilgili olarak soru 1 ve/veya soru 2'ye olumlu yanıt verilmişse, bu metal için daha sonraki soruların ve şirketin genel durum tespiti programı hakkındaki soruların (A ile J arası) da yanıtlanması gerekmektedir.</t>
    </r>
  </si>
  <si>
    <r>
      <rPr>
        <sz val="11"/>
        <color indexed="8"/>
        <rFont val="Verdana"/>
        <family val="2"/>
      </rPr>
      <t>Bazı şirketler "Hayır" yanıtı için bir doğrulama gerektirebilir ve bu doğrulamanın Açıklama alanına girilmesi gerekmektedir.</t>
    </r>
  </si>
  <si>
    <r>
      <rPr>
        <sz val="10"/>
        <color indexed="8"/>
        <rFont val="Verdana"/>
        <family val="2"/>
      </rPr>
      <t>4.</t>
    </r>
    <r>
      <rPr>
        <sz val="10"/>
        <color indexed="8"/>
        <rFont val="Verdana"/>
        <family val="2"/>
      </rPr>
      <t xml:space="preserve"> </t>
    </r>
    <r>
      <rPr>
        <sz val="10"/>
        <color indexed="8"/>
        <rFont val="Verdana"/>
        <family val="2"/>
      </rPr>
      <t>Bu, ürünler içinde bulunan ve ürünün işlevselliği için gerekli 3TG'lerin bu geri dönüşüm veya hurda kaynaklardan gelip gelmediğinin beyanıdır.</t>
    </r>
    <r>
      <rPr>
        <sz val="10"/>
        <color indexed="8"/>
        <rFont val="Verdana"/>
        <family val="2"/>
      </rPr>
      <t xml:space="preserve"> </t>
    </r>
    <r>
      <rPr>
        <sz val="10"/>
        <color indexed="8"/>
        <rFont val="Verdana"/>
        <family val="2"/>
      </rPr>
      <t xml:space="preserve">
Bu soruya "evet", "hayır" ya da "bilinmiyor" şeklinde yanıt verilmelidir.</t>
    </r>
    <r>
      <rPr>
        <sz val="10"/>
        <color indexed="8"/>
        <rFont val="Verdana"/>
        <family val="2"/>
      </rPr>
      <t xml:space="preserve"> </t>
    </r>
    <r>
      <rPr>
        <sz val="10"/>
        <color indexed="8"/>
        <rFont val="Verdana"/>
        <family val="2"/>
      </rPr>
      <t>1 veya 2. soruya belirli bir metal için “Evet” yanıtı verilmişse, bu metal için bu soruya yanıt verilmesi zorunludur.</t>
    </r>
    <r>
      <rPr>
        <sz val="10"/>
        <color indexed="8"/>
        <rFont val="Verdana"/>
        <family val="2"/>
      </rPr>
      <t xml:space="preserve">
Bu soruya "Evet" yanıtı verilmesi, 3TG'lerin %100'ünün geri dönüşüm veya hurda kaynaklarından elde edildiği anlamına gelecektir.</t>
    </r>
    <r>
      <rPr>
        <sz val="10"/>
        <color indexed="8"/>
        <rFont val="Verdana"/>
        <family val="2"/>
      </rPr>
      <t xml:space="preserve"> </t>
    </r>
    <r>
      <rPr>
        <sz val="10"/>
        <color indexed="8"/>
        <rFont val="Verdana"/>
        <family val="2"/>
      </rPr>
      <t>Bu</t>
    </r>
    <r>
      <rPr>
        <sz val="10"/>
        <color indexed="8"/>
        <rFont val="Verdana"/>
        <family val="2"/>
      </rPr>
      <t xml:space="preserve"> soruya "Hayır" yanıtı verilmesi, 3TG'lerin bir kısmının geri dönüşüm veya hurda kaynaklarından elde edilmediği anlamına gelecektir.</t>
    </r>
    <r>
      <rPr>
        <sz val="10"/>
        <color indexed="8"/>
        <rFont val="Verdana"/>
        <family val="2"/>
      </rPr>
      <t xml:space="preserve"> </t>
    </r>
    <r>
      <rPr>
        <sz val="10"/>
        <color indexed="8"/>
        <rFont val="Verdana"/>
        <family val="2"/>
      </rPr>
      <t>Bu soruya "Bilinmiyor"	yanıtı verilmesi, kullanıcının 3TG'nin %100'ünün geri dönüşüm veya hurda kaynaklarından elde edilip edilmediğini bilmediği anlamına gelecektir.</t>
    </r>
    <r>
      <rPr>
        <sz val="10"/>
        <color indexed="8"/>
        <rFont val="Verdana"/>
        <family val="2"/>
      </rPr>
      <t xml:space="preserve"> </t>
    </r>
  </si>
  <si>
    <r>
      <rPr>
        <sz val="10"/>
        <color indexed="8"/>
        <rFont val="Verdana"/>
        <family val="2"/>
      </rPr>
      <t>5.</t>
    </r>
    <r>
      <rPr>
        <sz val="10"/>
        <color indexed="8"/>
        <rFont val="Verdana"/>
        <family val="2"/>
      </rPr>
      <t xml:space="preserve"> </t>
    </r>
    <r>
      <rPr>
        <sz val="10"/>
        <color indexed="8"/>
        <rFont val="Verdana"/>
        <family val="2"/>
      </rPr>
      <t>Bu bir şirketin bu beyan kapsamındaki ürünlerde makul düzeyde 3TG sağladığına inanılan tüm doğrudan tedarikçilerin ihtilaf konusu maden açıklaması yapıp yapmadığının belirlenmesi yönünde bir beyandır.</t>
    </r>
    <r>
      <rPr>
        <sz val="10"/>
        <color indexed="8"/>
        <rFont val="Verdana"/>
        <family val="2"/>
      </rPr>
      <t xml:space="preserve"> </t>
    </r>
    <r>
      <rPr>
        <sz val="10"/>
        <color indexed="8"/>
        <rFont val="Verdana"/>
        <family val="2"/>
      </rPr>
      <t>Bu soruya aşağıdaki şekillerde yanıt verilebilir:</t>
    </r>
    <r>
      <rPr>
        <sz val="10"/>
        <color indexed="8"/>
        <rFont val="Verdana"/>
        <family val="2"/>
      </rPr>
      <t xml:space="preserve">
­ Evet, %100</t>
    </r>
    <r>
      <rPr>
        <sz val="10"/>
        <color indexed="8"/>
        <rFont val="Verdana"/>
        <family val="2"/>
      </rPr>
      <t xml:space="preserve">
­ Hayır, ancak %75'ten fazla</t>
    </r>
    <r>
      <rPr>
        <sz val="10"/>
        <color indexed="8"/>
        <rFont val="Verdana"/>
        <family val="2"/>
      </rPr>
      <t xml:space="preserve">
­ Hayır, ancak %50'den fazla</t>
    </r>
    <r>
      <rPr>
        <sz val="10"/>
        <color indexed="8"/>
        <rFont val="Verdana"/>
        <family val="2"/>
      </rPr>
      <t xml:space="preserve">
­ Hayır, ancak %25'ten fazla</t>
    </r>
    <r>
      <rPr>
        <sz val="10"/>
        <color indexed="8"/>
        <rFont val="Verdana"/>
        <family val="2"/>
      </rPr>
      <t xml:space="preserve">
­ Hayır, ancak %25'ten az</t>
    </r>
    <r>
      <rPr>
        <sz val="10"/>
        <color indexed="8"/>
        <rFont val="Verdana"/>
        <family val="2"/>
      </rPr>
      <t xml:space="preserve">
­ Hiçbiri</t>
    </r>
    <r>
      <rPr>
        <sz val="10"/>
        <color indexed="8"/>
        <rFont val="Verdana"/>
        <family val="2"/>
      </rPr>
      <t xml:space="preserve">
Bir metal için 1. veya 2. soruda “Evet” yanıtı verilmişse, bu metal için bu sorunun yanıtlanması zorunludur.</t>
    </r>
  </si>
  <si>
    <r>
      <rPr>
        <sz val="10"/>
        <color indexed="8"/>
        <rFont val="Verdana"/>
        <family val="2"/>
      </rPr>
      <t>6.</t>
    </r>
    <r>
      <rPr>
        <sz val="10"/>
        <color indexed="8"/>
        <rFont val="Verdana"/>
        <family val="2"/>
      </rPr>
      <t xml:space="preserve"> </t>
    </r>
    <r>
      <rPr>
        <sz val="10"/>
        <color indexed="8"/>
        <rFont val="Verdana"/>
        <family val="2"/>
      </rPr>
      <t>Bu soru, tedarikçinin bu beyan kapsamındaki ürünlerde 3TG sağlayan tüm izabe tesislerinin tanımlandığını düşünüp düşü</t>
    </r>
    <r>
      <rPr>
        <sz val="10"/>
        <color indexed="8"/>
        <rFont val="Verdana"/>
        <family val="2"/>
      </rPr>
      <t>nmediğini doğrulama amacı taşır.</t>
    </r>
    <r>
      <rPr>
        <sz val="10"/>
        <color indexed="8"/>
        <rFont val="Verdana"/>
        <family val="2"/>
      </rPr>
      <t xml:space="preserve"> </t>
    </r>
    <r>
      <rPr>
        <sz val="10"/>
        <color indexed="8"/>
        <rFont val="Verdana"/>
        <family val="2"/>
      </rPr>
      <t>Bu soruya belirli durumlarda açıklama girerek (ör. izabe tesislerinin listesi) "evet" ya da "hayır" cevabı verilebilir.</t>
    </r>
    <r>
      <rPr>
        <sz val="10"/>
        <color indexed="8"/>
        <rFont val="Verdana"/>
        <family val="2"/>
      </rPr>
      <t xml:space="preserve"> </t>
    </r>
    <r>
      <rPr>
        <sz val="10"/>
        <color indexed="8"/>
        <rFont val="Verdana"/>
        <family val="2"/>
      </rPr>
      <t>1 veya 2. soruya belirli bir metal için “Evet” yanıtı verilmişse, bu metal için bu soruya yanıt verilmesi zorunludur.</t>
    </r>
  </si>
  <si>
    <r>
      <rPr>
        <sz val="10"/>
        <color indexed="8"/>
        <rFont val="Verdana"/>
        <family val="2"/>
      </rPr>
      <t>7.</t>
    </r>
    <r>
      <rPr>
        <sz val="10"/>
        <color indexed="8"/>
        <rFont val="Verdana"/>
        <family val="2"/>
      </rPr>
      <t xml:space="preserve"> </t>
    </r>
    <r>
      <rPr>
        <sz val="10"/>
        <color indexed="8"/>
        <rFont val="Verdana"/>
        <family val="2"/>
      </rPr>
      <t>Bu soru, bu beyan kapsamındaki ürünlerdeki 3TG'leri sağladığı belirlenen izabe tesislerinin beyanda bildirilip bildirilmediğini tespit etme amacı taşımaktadır.</t>
    </r>
    <r>
      <rPr>
        <sz val="10"/>
        <color indexed="8"/>
        <rFont val="Verdana"/>
        <family val="2"/>
      </rPr>
      <t xml:space="preserve"> </t>
    </r>
    <r>
      <rPr>
        <sz val="10"/>
        <color indexed="8"/>
        <rFont val="Verdana"/>
        <family val="2"/>
      </rPr>
      <t>Bu soruya belirli durumlarda açıklama girerek (ör. izabe tesislerinin listesi) "evet" ya da "hayır" cevabı verilebilir.</t>
    </r>
    <r>
      <rPr>
        <sz val="10"/>
        <color indexed="8"/>
        <rFont val="Verdana"/>
        <family val="2"/>
      </rPr>
      <t xml:space="preserve"> </t>
    </r>
    <r>
      <rPr>
        <sz val="10"/>
        <color indexed="8"/>
        <rFont val="Verdana"/>
        <family val="2"/>
      </rPr>
      <t>1 veya 2. soruya belirli bir metal için “Evet” yanıtı verilmişse, bu metal için bu soruya yanıt verilmesi zorunludur.</t>
    </r>
  </si>
  <si>
    <r>
      <rPr>
        <sz val="11"/>
        <color indexed="8"/>
        <rFont val="Verdana"/>
        <family val="2"/>
      </rPr>
      <t>Yanıtlarınızı açıklamak için Açıklama bölümlerine gereken açıklamaları girin.</t>
    </r>
  </si>
  <si>
    <r>
      <rPr>
        <sz val="11"/>
        <color indexed="8"/>
        <rFont val="Verdana"/>
        <family val="2"/>
      </rPr>
      <t>A. ve J. arası soruların yanıtlanması için talimatlar (69 ila 87 arası satırlar).</t>
    </r>
    <r>
      <rPr>
        <sz val="11"/>
        <color indexed="8"/>
        <rFont val="Verdana"/>
        <family val="2"/>
      </rPr>
      <t xml:space="preserve"> </t>
    </r>
    <r>
      <rPr>
        <sz val="11"/>
        <color indexed="8"/>
        <rFont val="Verdana"/>
        <family val="2"/>
      </rPr>
      <t>Herhangi bir metal için 1. veya 2. soruya “Evet” yanıtı verilmişse, A. ile J. arası soruların yanıtlanması gerekmektedir.</t>
    </r>
    <r>
      <rPr>
        <sz val="11"/>
        <color indexed="8"/>
        <rFont val="Verdana"/>
        <family val="2"/>
      </rPr>
      <t xml:space="preserve">
Yanıtları yalnızca İNGİLİZCE olarak verin</t>
    </r>
  </si>
  <si>
    <r>
      <rPr>
        <sz val="11"/>
        <color indexed="8"/>
        <rFont val="Verdana"/>
        <family val="2"/>
      </rPr>
      <t xml:space="preserve"> İhtilaftan Etkilenen ya da Yüksek</t>
    </r>
    <r>
      <rPr>
        <sz val="11"/>
        <color indexed="8"/>
        <rFont val="Verdana"/>
        <family val="2"/>
      </rPr>
      <t xml:space="preserve"> Riskli Alanlardan elde edilen Madenlerin Sorumlu Tedarik Zinciri için OECD Durum Tespiti Kılavuzu (OECD Kılavuzu), “Durum Tespiti” sürecini “şirketlerin insan haklarına saygı duyulmasını ve ihtilafa katkıda bulunulmamasını sağlayacak şekilde denetlendiği sürekli olarak, proaktif ve reaktif bir süreçtir”.</t>
    </r>
    <r>
      <rPr>
        <sz val="11"/>
        <color indexed="8"/>
        <rFont val="Verdana"/>
        <family val="2"/>
      </rPr>
      <t xml:space="preserve"> </t>
    </r>
    <r>
      <rPr>
        <sz val="11"/>
        <color indexed="8"/>
        <rFont val="Verdana"/>
        <family val="2"/>
      </rPr>
      <t>Durum tespiti, şirketinizin genel ihtilaf içermeyen kaynak edinme stratejisinin ayrılmaz bir parçasını oluşturmalıdır.</t>
    </r>
    <r>
      <rPr>
        <sz val="11"/>
        <color indexed="8"/>
        <rFont val="Verdana"/>
        <family val="2"/>
      </rPr>
      <t xml:space="preserve"> </t>
    </r>
    <r>
      <rPr>
        <sz val="11"/>
        <color indexed="8"/>
        <rFont val="Verdana"/>
        <family val="2"/>
      </rPr>
      <t>A. ile J. arası sorular, şirketinizin ihtilaf içermeyen maden kaynağı belirleme konulu durum tespiti aktivitelerinin değerlendirilmesi için tasarlanmıştır.</t>
    </r>
    <r>
      <rPr>
        <sz val="11"/>
        <color indexed="8"/>
        <rFont val="Verdana"/>
        <family val="2"/>
      </rPr>
      <t xml:space="preserve"> </t>
    </r>
    <r>
      <rPr>
        <sz val="11"/>
        <color indexed="8"/>
        <rFont val="Verdana"/>
        <family val="2"/>
      </rPr>
      <t>Bu sorulara verilecek yanıtlar, şirketinizin faaliyetlerinin kapsamını eksiksiz bir şekilde ifade etmeli ve şirket bilgileri bölümünde seçilen ‘Beyan Kapsamı’ ile sınırlı tutulmamalıdır.</t>
    </r>
  </si>
  <si>
    <r>
      <rPr>
        <sz val="11"/>
        <color indexed="8"/>
        <rFont val="Verdana"/>
        <family val="2"/>
      </rPr>
      <t>A.</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Gerekli açıklamaları sağlayın.</t>
    </r>
    <r>
      <rPr>
        <sz val="11"/>
        <color indexed="8"/>
        <rFont val="Verdana"/>
        <family val="2"/>
      </rPr>
      <t xml:space="preserve"> </t>
    </r>
  </si>
  <si>
    <r>
      <rPr>
        <sz val="11"/>
        <color indexed="8"/>
        <rFont val="Verdana"/>
        <family val="2"/>
      </rPr>
      <t>B.</t>
    </r>
    <r>
      <rPr>
        <sz val="11"/>
        <color indexed="8"/>
        <rFont val="Verdana"/>
        <family val="2"/>
      </rPr>
      <t xml:space="preserve"> </t>
    </r>
    <r>
      <rPr>
        <sz val="11"/>
        <color indexed="8"/>
        <rFont val="Verdana"/>
        <family val="2"/>
      </rPr>
      <t>Lütfen “Evet” veya “Hayır” şeklinde yanıt verin. Cevabınız “Evet” ise, web bağlantısını açıklama bölümüne ekleyin.</t>
    </r>
  </si>
  <si>
    <r>
      <rPr>
        <sz val="11"/>
        <color indexed="8"/>
        <rFont val="Verdana"/>
        <family val="2"/>
      </rPr>
      <t>C.</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Gerekli açıklamaları sağlayın.</t>
    </r>
    <r>
      <rPr>
        <sz val="11"/>
        <color indexed="8"/>
        <rFont val="Verdana"/>
        <family val="2"/>
      </rPr>
      <t xml:space="preserve"> </t>
    </r>
    <r>
      <rPr>
        <sz val="11"/>
        <color indexed="8"/>
        <rFont val="Verdana"/>
        <family val="2"/>
      </rPr>
      <t>"DKC ihtilafı içermeyen" tanımı için Tanımlar çalışma sayfasını inceleyin.</t>
    </r>
  </si>
  <si>
    <r>
      <rPr>
        <sz val="10"/>
        <color indexed="8"/>
        <rFont val="Verdana"/>
        <family val="2"/>
      </rPr>
      <t>D.</t>
    </r>
    <r>
      <rPr>
        <sz val="10"/>
        <color indexed="8"/>
        <rFont val="Verdana"/>
        <family val="2"/>
      </rPr>
      <t xml:space="preserve"> </t>
    </r>
    <r>
      <rPr>
        <sz val="10"/>
        <color indexed="8"/>
        <rFont val="Verdana"/>
        <family val="2"/>
      </rPr>
      <t xml:space="preserve">Bu, bir şirketin doğrudan tedarikçilerinin </t>
    </r>
    <r>
      <rPr>
        <b/>
        <sz val="10"/>
        <color indexed="8"/>
        <rFont val="Verdana"/>
        <family val="2"/>
      </rPr>
      <t>3TG</t>
    </r>
    <r>
      <rPr>
        <sz val="10"/>
        <color indexed="8"/>
        <rFont val="Verdana"/>
        <family val="2"/>
      </rPr>
      <t>leri doğrulanmış, ihtilaf konusu olmayan izabe tesislerinden temin edip etmediğinin belirlenmesini amaçlamaktadır.</t>
    </r>
    <r>
      <rPr>
        <sz val="10"/>
        <color indexed="8"/>
        <rFont val="Verdana"/>
        <family val="2"/>
      </rPr>
      <t xml:space="preserve"> </t>
    </r>
    <r>
      <rPr>
        <sz val="10"/>
        <color indexed="8"/>
        <rFont val="Verdana"/>
        <family val="2"/>
      </rPr>
      <t>Bu soruya "evet" ya da "hayır" şeklinde yanıt verilmelidir.</t>
    </r>
    <r>
      <rPr>
        <sz val="10"/>
        <color indexed="8"/>
        <rFont val="Verdana"/>
        <family val="2"/>
      </rPr>
      <t xml:space="preserve"> </t>
    </r>
    <r>
      <rPr>
        <sz val="10"/>
        <color indexed="8"/>
        <rFont val="Verdana"/>
        <family val="2"/>
      </rPr>
      <t>Bu sorunun yanıtlanması zorunludur.</t>
    </r>
  </si>
  <si>
    <r>
      <rPr>
        <sz val="11"/>
        <color indexed="8"/>
        <rFont val="Verdana"/>
        <family val="2"/>
      </rPr>
      <t>E.</t>
    </r>
    <r>
      <rPr>
        <sz val="11"/>
        <color indexed="8"/>
        <rFont val="Verdana"/>
        <family val="2"/>
      </rPr>
      <t xml:space="preserve"> </t>
    </r>
    <r>
      <rPr>
        <sz val="11"/>
        <color indexed="8"/>
        <rFont val="Verdana"/>
        <family val="2"/>
      </rPr>
      <t>Şirketinizin ihtilaf konusu maden kaynak belirleme durum tespiti tedbirlerini uygulayıp uygulamadığını ifade etmek için lütfen "Evet" veya "Hayır" biçiminde yanıt verin.</t>
    </r>
    <r>
      <rPr>
        <sz val="11"/>
        <color indexed="8"/>
        <rFont val="Verdana"/>
        <family val="2"/>
      </rPr>
      <t xml:space="preserve"> </t>
    </r>
    <r>
      <rPr>
        <sz val="11"/>
        <color indexed="8"/>
        <rFont val="Verdana"/>
        <family val="2"/>
      </rPr>
      <t>Bu beyan, bir şirketin durum tespiti tedbirlerinin ayrıntılarını verme amacı taşımamaktadır, yalnızca durum tespiti tedbirlerinin uygulanıp uygulanmadığı ile ilgilidir.</t>
    </r>
    <r>
      <rPr>
        <sz val="11"/>
        <color indexed="8"/>
        <rFont val="Verdana"/>
        <family val="2"/>
      </rPr>
      <t xml:space="preserve"> </t>
    </r>
    <r>
      <rPr>
        <sz val="11"/>
        <color indexed="8"/>
        <rFont val="Verdana"/>
        <family val="2"/>
      </rPr>
      <t>Kabul edilebilir durum tespiti tedbirlerinin özellikleri, talep eden kişi ve tedarikçi tarafından belirlenmelidir.</t>
    </r>
    <r>
      <rPr>
        <sz val="11"/>
        <color indexed="8"/>
        <rFont val="Verdana"/>
        <family val="2"/>
      </rPr>
      <t xml:space="preserve">
Durum tespiti tedbirleri örnekleri şunları içerebilir: ihtilaf içeremeyen tedarik zinciri ile ilgili beklentilerinizi iletme ve sözleşmelere dahil etme (mümkün olduğunda), tedarik zincirindeki riskleri tanımlama ve değerlendirme, tanımlanan risklere müdahale için bir strateji belirleme ve bu stratejiyi uygulamaya koyma, doğrudan tedarikçinizin DKC ihtilaf içermeyen politikasına uyumunu doğrulama, vs. Bu durum tespiti tedbirleri, uluslararası kapsamda tanınan OECD Kılavuzuna dahil kılavuz ilkelere uygun olmalıdır.</t>
    </r>
    <r>
      <rPr>
        <sz val="11"/>
        <color indexed="8"/>
        <rFont val="Verdana"/>
        <family val="2"/>
      </rPr>
      <t xml:space="preserve"> </t>
    </r>
  </si>
  <si>
    <r>
      <rPr>
        <sz val="10"/>
        <color indexed="8"/>
        <rFont val="Verdana"/>
        <family val="2"/>
      </rPr>
      <t>F.</t>
    </r>
    <r>
      <rPr>
        <sz val="10"/>
        <color indexed="8"/>
        <rFont val="Verdana"/>
        <family val="2"/>
      </rPr>
      <t xml:space="preserve"> </t>
    </r>
    <r>
      <rPr>
        <sz val="10"/>
        <color indexed="8"/>
        <rFont val="Verdana"/>
        <family val="2"/>
      </rPr>
      <t>Bu, bir şirketin tedarikçilerinden ihtilaf konusu maden beyanı doldurmalarını isteyip istemediğini tespit etme amaçlıdır.</t>
    </r>
    <r>
      <rPr>
        <sz val="10"/>
        <color indexed="8"/>
        <rFont val="Verdana"/>
        <family val="2"/>
      </rPr>
      <t xml:space="preserve"> </t>
    </r>
    <r>
      <rPr>
        <sz val="10"/>
        <color indexed="8"/>
        <rFont val="Verdana"/>
        <family val="2"/>
      </rPr>
      <t>Bu soruya belirli durumlarda bir açıklama (bilgi toplama biçimini açıklama gibi) ile birlikte "evet" ya da "hayır" şeklinde yanıt verilmelidir.</t>
    </r>
    <r>
      <rPr>
        <sz val="10"/>
        <color indexed="8"/>
        <rFont val="Verdana"/>
        <family val="2"/>
      </rPr>
      <t xml:space="preserve"> </t>
    </r>
    <r>
      <rPr>
        <sz val="10"/>
        <color indexed="8"/>
        <rFont val="Verdana"/>
        <family val="2"/>
      </rPr>
      <t>Bu sorunun yanıtlanması zorunludur.</t>
    </r>
  </si>
  <si>
    <r>
      <rPr>
        <sz val="11"/>
        <color indexed="8"/>
        <rFont val="Verdana"/>
        <family val="2"/>
      </rPr>
      <t>G.</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Gerekli açıklamaları sağlayın.</t>
    </r>
  </si>
  <si>
    <r>
      <rPr>
        <sz val="11"/>
        <color indexed="8"/>
        <rFont val="Verdana"/>
        <family val="2"/>
      </rPr>
      <t>H.</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Açıklamalar bölümünde, yaklaşımınız ile ilgili ilave bilgiler girebilirsiniz.</t>
    </r>
    <r>
      <rPr>
        <sz val="11"/>
        <color indexed="8"/>
        <rFont val="Verdana"/>
        <family val="2"/>
      </rPr>
      <t xml:space="preserve"> </t>
    </r>
    <r>
      <rPr>
        <sz val="11"/>
        <color indexed="8"/>
        <rFont val="Verdana"/>
        <family val="2"/>
      </rPr>
      <t>Örnekler şunları içerebilir:</t>
    </r>
    <r>
      <rPr>
        <sz val="11"/>
        <color indexed="8"/>
        <rFont val="Verdana"/>
        <family val="2"/>
      </rPr>
      <t xml:space="preserve">
 </t>
    </r>
    <r>
      <rPr>
        <sz val="11"/>
        <color indexed="8"/>
        <rFont val="Verdana"/>
        <family val="2"/>
      </rPr>
      <t>“3. kişi denetimleri” - bağımsız üçüncü kişiler tarafından gerçekleştirilen tesis içi denetimler.</t>
    </r>
    <r>
      <rPr>
        <sz val="11"/>
        <color indexed="8"/>
        <rFont val="Verdana"/>
        <family val="2"/>
      </rPr>
      <t xml:space="preserve"> </t>
    </r>
    <r>
      <rPr>
        <sz val="11"/>
        <color indexed="8"/>
        <rFont val="Verdana"/>
        <family val="2"/>
      </rPr>
      <t xml:space="preserve">
 </t>
    </r>
    <r>
      <rPr>
        <sz val="11"/>
        <color indexed="8"/>
        <rFont val="Verdana"/>
        <family val="2"/>
      </rPr>
      <t>“Yalnızca belgelendirme değerlendirmesi” - tedarikçinin verdiği kayıtların ve bağımsız üçüncü kişiler veya şirket personeliniz tarafından hazırlanan belgelerin değerlendirilmesi.</t>
    </r>
    <r>
      <rPr>
        <sz val="11"/>
        <color indexed="8"/>
        <rFont val="Verdana"/>
        <family val="2"/>
      </rPr>
      <t xml:space="preserve"> </t>
    </r>
    <r>
      <rPr>
        <sz val="11"/>
        <color indexed="8"/>
        <rFont val="Verdana"/>
        <family val="2"/>
      </rPr>
      <t xml:space="preserve">
 </t>
    </r>
    <r>
      <rPr>
        <sz val="11"/>
        <color indexed="8"/>
        <rFont val="Verdana"/>
        <family val="2"/>
      </rPr>
      <t>“Kurum içi denetim” - şirket personelinizin tedarikçileriniz üzerinde yerinde gerçekleştirdiği denetimler.</t>
    </r>
  </si>
  <si>
    <r>
      <rPr>
        <sz val="11"/>
        <color indexed="8"/>
        <rFont val="Verdana"/>
        <family val="2"/>
      </rPr>
      <t>I.</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Yanıtınız “Evet” ise lütfen düzeltici eylem sürecini nasıl yönettiğinizi belirtin.</t>
    </r>
  </si>
  <si>
    <r>
      <rPr>
        <sz val="11"/>
        <color indexed="8"/>
        <rFont val="Verdana"/>
        <family val="2"/>
      </rPr>
      <t>J.</t>
    </r>
    <r>
      <rPr>
        <sz val="11"/>
        <color indexed="8"/>
        <rFont val="Verdana"/>
        <family val="2"/>
      </rPr>
      <t xml:space="preserve"> </t>
    </r>
    <r>
      <rPr>
        <sz val="11"/>
        <color indexed="8"/>
        <rFont val="Verdana"/>
        <family val="2"/>
      </rPr>
      <t>Lütfen “Evet” veya “Hayır” şeklinde yanıt verin.</t>
    </r>
    <r>
      <rPr>
        <sz val="11"/>
        <color indexed="8"/>
        <rFont val="Verdana"/>
        <family val="2"/>
      </rPr>
      <t xml:space="preserve"> </t>
    </r>
    <r>
      <rPr>
        <sz val="11"/>
        <color indexed="8"/>
        <rFont val="Verdana"/>
        <family val="2"/>
      </rPr>
      <t>SEC ihtilaf konusu maden açıklama gereklilikleri ABD Menkul Kıymetler Borsası Kanununa tâbi ABD'de bulunan, döviz ticareti yapan şirketler için geçerlidir.</t>
    </r>
    <r>
      <rPr>
        <sz val="11"/>
        <color indexed="8"/>
        <rFont val="Verdana"/>
        <family val="2"/>
      </rPr>
      <t xml:space="preserve"> </t>
    </r>
    <r>
      <rPr>
        <sz val="11"/>
        <color indexed="8"/>
        <rFont val="Verdana"/>
        <family val="2"/>
      </rPr>
      <t>Daha fazla bilgi için lütfen www.sec.gov adres</t>
    </r>
    <r>
      <rPr>
        <sz val="11"/>
        <color indexed="8"/>
        <rFont val="Verdana"/>
        <family val="2"/>
      </rPr>
      <t>ine başvurun.</t>
    </r>
  </si>
  <si>
    <r>
      <rPr>
        <sz val="11"/>
        <color indexed="8"/>
        <rFont val="Verdana"/>
        <family val="2"/>
      </rPr>
      <t>İzabe Tesisi Listesi Sekmesinin doldurulması ile ilgili talimatlar.</t>
    </r>
    <r>
      <rPr>
        <sz val="11"/>
        <color indexed="8"/>
        <rFont val="Verdana"/>
        <family val="2"/>
      </rPr>
      <t xml:space="preserve">
Yanıtları yalnızca İNGİLİZCE olarak verin</t>
    </r>
  </si>
  <si>
    <r>
      <rPr>
        <sz val="11"/>
        <color indexed="8"/>
        <rFont val="Verdana"/>
        <family val="2"/>
      </rPr>
      <t>Not:</t>
    </r>
    <r>
      <rPr>
        <sz val="11"/>
        <color indexed="8"/>
        <rFont val="Verdana"/>
        <family val="2"/>
      </rPr>
      <t xml:space="preserve"> </t>
    </r>
    <r>
      <rPr>
        <sz val="11"/>
        <color indexed="8"/>
        <rFont val="Verdana"/>
        <family val="2"/>
      </rPr>
      <t>(*) ile işaretlenmiş sütunların doldurulması zorunludur</t>
    </r>
  </si>
  <si>
    <r>
      <rPr>
        <sz val="11"/>
        <color indexed="8"/>
        <rFont val="Verdana"/>
        <family val="2"/>
      </rPr>
      <t>Bu şablon, İzabe Tesisi Referans Listesi kullanılarak izabe tesisi tanımlanabilmesini sağlar.</t>
    </r>
    <r>
      <rPr>
        <sz val="11"/>
        <color indexed="8"/>
        <rFont val="Verdana"/>
        <family val="2"/>
      </rPr>
      <t xml:space="preserve"> </t>
    </r>
    <r>
      <rPr>
        <sz val="11"/>
        <color indexed="8"/>
        <rFont val="Verdana"/>
        <family val="2"/>
      </rPr>
      <t>İzabe Tesisi Referans Listesi işlevinin kullanılabilmesi için B, C, D ve E sütunlarının soldan sağa doğru doldurulması gerekmektedir.</t>
    </r>
    <r>
      <rPr>
        <sz val="11"/>
        <color indexed="8"/>
        <rFont val="Verdana"/>
        <family val="2"/>
      </rPr>
      <t xml:space="preserve">
Her bir metal/izabe tesisi/ülke kombinasyonu için ayrı bir satır kullanın</t>
    </r>
  </si>
  <si>
    <r>
      <rPr>
        <sz val="11"/>
        <color indexed="8"/>
        <rFont val="Verdana"/>
        <family val="2"/>
      </rPr>
      <t>15.</t>
    </r>
    <r>
      <rPr>
        <sz val="11"/>
        <color indexed="8"/>
        <rFont val="Verdana"/>
        <family val="2"/>
      </rPr>
      <t xml:space="preserve"> </t>
    </r>
    <r>
      <rPr>
        <sz val="11"/>
        <color indexed="8"/>
        <rFont val="Verdana"/>
        <family val="2"/>
      </rPr>
      <t>İzabe tesisinin hammaddeleri %100 oranda geri dönüşüm veya hurda kaynaklarından mı geliyor?</t>
    </r>
    <r>
      <rPr>
        <sz val="11"/>
        <color indexed="8"/>
        <rFont val="Verdana"/>
        <family val="2"/>
      </rPr>
      <t xml:space="preserve"> </t>
    </r>
    <r>
      <rPr>
        <sz val="11"/>
        <color indexed="8"/>
        <rFont val="Verdana"/>
        <family val="2"/>
      </rPr>
      <t>- İzabe tesisi izabe süreçleri için girdileri yalnızca geri dönüşüm veya hurda kaynaklarından alıyorsa lütfen bu soruya "Evet" yanıtı verin.</t>
    </r>
    <r>
      <rPr>
        <sz val="11"/>
        <color indexed="8"/>
        <rFont val="Verdana"/>
        <family val="2"/>
      </rPr>
      <t xml:space="preserve"> </t>
    </r>
    <r>
      <rPr>
        <sz val="11"/>
        <color indexed="8"/>
        <rFont val="Verdana"/>
        <family val="2"/>
      </rPr>
      <t>Diğer durumlarda, "Hayır" yanıtı verin.</t>
    </r>
    <r>
      <rPr>
        <sz val="11"/>
        <color indexed="8"/>
        <rFont val="Verdana"/>
        <family val="2"/>
      </rPr>
      <t xml:space="preserve"> </t>
    </r>
  </si>
  <si>
    <r>
      <rPr>
        <sz val="11"/>
        <color indexed="8"/>
        <rFont val="Verdana"/>
        <family val="2"/>
      </rPr>
      <t>16.</t>
    </r>
    <r>
      <rPr>
        <sz val="11"/>
        <color indexed="8"/>
        <rFont val="Verdana"/>
        <family val="2"/>
      </rPr>
      <t xml:space="preserve"> </t>
    </r>
    <r>
      <rPr>
        <sz val="11"/>
        <color indexed="8"/>
        <rFont val="Verdana"/>
        <family val="2"/>
      </rPr>
      <t>Açıklamalar – İzabe tesisi ile ilgili açıklamaların girilmesi için serbest metin girişine uygun alan.</t>
    </r>
    <r>
      <rPr>
        <sz val="11"/>
        <color indexed="8"/>
        <rFont val="Verdana"/>
        <family val="2"/>
      </rPr>
      <t xml:space="preserve"> </t>
    </r>
    <r>
      <rPr>
        <sz val="11"/>
        <color indexed="8"/>
        <rFont val="Verdana"/>
        <family val="2"/>
      </rPr>
      <t>Örnek: izabe tesisi YYY Şirketi tarafından alınıyor</t>
    </r>
  </si>
  <si>
    <r>
      <rPr>
        <sz val="11"/>
        <color indexed="8"/>
        <rFont val="Verdana"/>
        <family val="2"/>
      </rPr>
      <t>Kontrol çalışma sayfası, Şablondaki gerekli tüm bilgilerin doldurulduğunun doğrulanması için kullanılır.</t>
    </r>
    <r>
      <rPr>
        <sz val="11"/>
        <color indexed="8"/>
        <rFont val="Verdana"/>
        <family val="2"/>
      </rPr>
      <t xml:space="preserve"> </t>
    </r>
    <r>
      <rPr>
        <sz val="11"/>
        <color indexed="8"/>
        <rFont val="Verdana"/>
        <family val="2"/>
      </rPr>
      <t>Bu sayfa gerçek zamanlı olarak güncellenir ve bu sayfayı Şablon kullanılırken dilediğiniz zaman inceleyebilirsiniz.</t>
    </r>
    <r>
      <rPr>
        <sz val="11"/>
        <color indexed="8"/>
        <rFont val="Verdana"/>
        <family val="2"/>
      </rPr>
      <t xml:space="preserve"> </t>
    </r>
    <r>
      <rPr>
        <sz val="11"/>
        <color indexed="8"/>
        <rFont val="Verdana"/>
        <family val="2"/>
      </rPr>
      <t>Bu sayfa, tamamlama işlemini doğrulamak için kullanılır.</t>
    </r>
    <r>
      <rPr>
        <sz val="11"/>
        <color indexed="8"/>
        <rFont val="Verdana"/>
        <family val="2"/>
      </rPr>
      <t xml:space="preserve">
Bu sayfayı kullanmak için gerekli tüm alanların doldurulduğunu doğrulayın (doldurulan alanlar yeşil renkte vurgulanacaktır).</t>
    </r>
    <r>
      <rPr>
        <sz val="11"/>
        <color indexed="8"/>
        <rFont val="Verdana"/>
        <family val="2"/>
      </rPr>
      <t xml:space="preserve"> </t>
    </r>
    <r>
      <rPr>
        <sz val="11"/>
        <color indexed="8"/>
        <rFont val="Verdana"/>
        <family val="2"/>
      </rPr>
      <t>Alanlar yeşil renkte vurgulanmadıysa, kırmızı renkli alan(lar)ı bulun ve gerekli eylemler için C Sütunundaki "Notlar" bölümünü inceleyin.</t>
    </r>
    <r>
      <rPr>
        <sz val="11"/>
        <color indexed="8"/>
        <rFont val="Verdana"/>
        <family val="2"/>
      </rPr>
      <t xml:space="preserve"> </t>
    </r>
    <r>
      <rPr>
        <sz val="11"/>
        <color indexed="8"/>
        <rFont val="Verdana"/>
        <family val="2"/>
      </rPr>
      <t>Alanı doğrudan erişerek doldurmak için D Sütunundaki URL'yi kullanabilirsiniz.</t>
    </r>
  </si>
  <si>
    <r>
      <rPr>
        <sz val="11"/>
        <color indexed="8"/>
        <rFont val="Verdana"/>
        <family val="2"/>
      </rPr>
      <t>ŞARTLAR VE KOŞULLAR</t>
    </r>
  </si>
  <si>
    <r>
      <rPr>
        <sz val="11"/>
        <color indexed="8"/>
        <rFont val="Verdana"/>
        <family val="2"/>
      </rPr>
      <t>Sınırlama olmaksızın İhtilaf Konusu Maden Raporlama Şablonunu içeren şekilde İhtilafsız İzabe Tesisi Programı ("Program") Uyumlu İzabe Tesisi Listesi ("Liste") ve Program şablonları ile araçları (birlikte “Araçlar”), sınırlama olmaksızın bunlarda verilen tüm bilgileri de içeren şekilde yalnızca bilgilendirme amaçlı olarak sunulmaktadır ve bunlarda belirtilen tarih itibariyle günceldir.</t>
    </r>
    <r>
      <rPr>
        <sz val="11"/>
        <color indexed="8"/>
        <rFont val="Verdana"/>
        <family val="2"/>
      </rPr>
      <t xml:space="preserve"> </t>
    </r>
    <r>
      <rPr>
        <sz val="11"/>
        <color indexed="8"/>
        <rFont val="Verdana"/>
        <family val="2"/>
      </rPr>
      <t>Listede ya da herhangi bir Araçtaki herhangi bir yanlışlık veya eksiklik, Delaware merkezli sermayesi bölünmemiş bir şirket olan Electronic Industry Citizen</t>
    </r>
    <r>
      <rPr>
        <sz val="11"/>
        <color indexed="8"/>
        <rFont val="Verdana"/>
        <family val="2"/>
      </rPr>
      <t>ship Coalition, Incorporated'ın ("EICC") veya Belçika merkezli uluslararası bir kar amacı gütmeyen topluluk olan Küresel e-Sürdürülebilirlik Girişiminin ("GeSI") sorumluluğunda değildir.</t>
    </r>
    <r>
      <rPr>
        <sz val="11"/>
        <color indexed="8"/>
        <rFont val="Verdana"/>
        <family val="2"/>
      </rPr>
      <t xml:space="preserve"> </t>
    </r>
    <r>
      <rPr>
        <sz val="11"/>
        <color indexed="8"/>
        <rFont val="Verdana"/>
        <family val="2"/>
      </rPr>
      <t>Listenin veya herhangi bir Aracın tamamının ya da herhangi bir kısmının kullanılıp kullanılmaması tamamen Kullanıcının takdirine bağlı olmalıdır.</t>
    </r>
    <r>
      <rPr>
        <sz val="11"/>
        <color indexed="8"/>
        <rFont val="Verdana"/>
        <family val="2"/>
      </rPr>
      <t xml:space="preserve"> </t>
    </r>
    <r>
      <rPr>
        <sz val="11"/>
        <color indexed="8"/>
        <rFont val="Verdana"/>
        <family val="2"/>
      </rPr>
      <t>Listeyi ya da herhangi bir Aracı kullanmadan önce hukuk müşaviriniz ile birlikte incelemelisiniz.</t>
    </r>
    <r>
      <rPr>
        <sz val="11"/>
        <color indexed="8"/>
        <rFont val="Verdana"/>
        <family val="2"/>
      </rPr>
      <t xml:space="preserve"> </t>
    </r>
    <r>
      <rPr>
        <sz val="11"/>
        <color indexed="8"/>
        <rFont val="Verdana"/>
        <family val="2"/>
      </rPr>
      <t>Liste ya da herhangi bir Aracın hiçbir bölümü yasal tavsiye niteliğinde değildir.</t>
    </r>
    <r>
      <rPr>
        <sz val="11"/>
        <color indexed="8"/>
        <rFont val="Verdana"/>
        <family val="2"/>
      </rPr>
      <t xml:space="preserve"> </t>
    </r>
    <r>
      <rPr>
        <sz val="11"/>
        <color indexed="8"/>
        <rFont val="Verdana"/>
        <family val="2"/>
      </rPr>
      <t>Listenin ya da herhangi bir Aracın kullanılması tamamen gönüllülük esasına bağlıdır.</t>
    </r>
  </si>
  <si>
    <r>
      <rPr>
        <sz val="11"/>
        <color indexed="8"/>
        <rFont val="Verdana"/>
        <family val="2"/>
      </rPr>
      <t>EICC ya da GeSI Liste veya herhangi bir Araç ile ilgili olarak herhangi bir beyan veya taahhütte bulunmamaktadır.</t>
    </r>
    <r>
      <rPr>
        <sz val="11"/>
        <color indexed="8"/>
        <rFont val="Verdana"/>
        <family val="2"/>
      </rPr>
      <t xml:space="preserve"> </t>
    </r>
    <r>
      <rPr>
        <sz val="11"/>
        <color indexed="8"/>
        <rFont val="Verdana"/>
        <family val="2"/>
      </rPr>
      <t>Liste ve Araçlar "OLDUĞU GİBİ" ve "UYGUNLUK KAPSAMINDA" sunulmaktadır.</t>
    </r>
    <r>
      <rPr>
        <sz val="11"/>
        <color indexed="8"/>
        <rFont val="Verdana"/>
        <family val="2"/>
      </rPr>
      <t xml:space="preserve"> </t>
    </r>
    <r>
      <rPr>
        <sz val="11"/>
        <color indexed="8"/>
        <rFont val="Verdana"/>
        <family val="2"/>
      </rPr>
      <t>EICC ve GeSI, işbu belge ile sınırlama olmaksızın zımni ticarete elverişlilik, ihlal içermeme, kalite, unvan veya belirli bir amaca uygunluk, eksiksizlik veya doğruluk garantilerini de içeren şekilde açık ya da zımni veya başka türden, ticari ilişkiler ya da geleneklerden doğan tüm garantilerden feragat etmektedir.</t>
    </r>
    <r>
      <rPr>
        <sz val="11"/>
        <color indexed="8"/>
        <rFont val="Verdana"/>
        <family val="2"/>
      </rPr>
      <t xml:space="preserve"> </t>
    </r>
  </si>
  <si>
    <r>
      <rPr>
        <sz val="11"/>
        <color indexed="8"/>
        <rFont val="Verdana"/>
        <family val="2"/>
      </rPr>
      <t>Yürürlükteki kanunların izin verdiği kapsamda, EICC ve GeSI, ister sözleşme, akit, tüzükten ister başka şekilde doğmuş olsun, hasar olasılığı ile bilgilendirilmiş olsalar dahi sınırlama olmaksızın özel, bağlı, cezai, doğrudan, dolaylı ya da arızi hasarlar veya kayıp kâr ya da kazançları da içeren şekilde Kullanıcının Listeyi veya herhangi bir Aracı kullanmasından doğan her türden kayıp, harcama veya hasar ile ilgili yükümlülüklerinden feragat etmektedir.</t>
    </r>
    <r>
      <rPr>
        <sz val="11"/>
        <color indexed="8"/>
        <rFont val="Verdana"/>
        <family val="2"/>
      </rPr>
      <t xml:space="preserve"> </t>
    </r>
  </si>
  <si>
    <r>
      <rPr>
        <sz val="11"/>
        <color indexed="8"/>
        <rFont val="Verdana"/>
        <family val="2"/>
      </rPr>
      <t>Liste ve/veya herhangi bir Aracın kullanımı kapsamında, KULLANICI işbu belge ile (a) EICC ve GeSI'yi, ilgili yetkilileri, yöneticileri, temsilcileri, çalışanları, gönüllüleri, acenteleri, yüklenicileri, halefleri ve devralanları, Kullanıcının geçmişte, şimdi veya gelecekte EICC ve GeSI'ye, ilgili yetkilileri, yöneticileri, temsilcileri, çalışanları, gönüllüleri, acenteleri, yüklenicileri, halefleri ve devralanlarına karşı Liste veya herhangi bir Aracın kullanımından doğan talepler, yasa işleml</t>
    </r>
    <r>
      <rPr>
        <sz val="11"/>
        <color indexed="8"/>
        <rFont val="Verdana"/>
        <family val="2"/>
      </rPr>
      <t>er, kayıplar, davalar, hasarlar, kararlar, hacizler ve icralara karşı beri tutmayı ve (b) EICC ve GeSI'yi, ilgili yetkilileri, yöneticileri, temsilcileri, çalışanları, gönüllüleri, acenteleri, yüklenicileri, halefleri ve devralanları KULLANICININ Listeyi veya herhangi bir Aracı kullanmasından doğan tüm talepler, yasa işlemler, kayıplar, davalar, hasarlar, kararlar, hacizler ve icralara karşı korumayı ve tazmin etmeyi kabul etmiş bulunmaktadır.</t>
    </r>
  </si>
  <si>
    <r>
      <rPr>
        <sz val="11"/>
        <color indexed="8"/>
        <rFont val="Verdana"/>
        <family val="2"/>
      </rPr>
      <t>Bu Şartlar ve Koşulların herhangi bir kısmı ya da hükmünün yürürlükteki kanunlar kapsamında geçersiz veya uygulanamaz kılınması durumunda, bahsi geçen kısım işbu Şartlar ve Koşulların kalan hükmü veya bahsi geçen hükmün diğer kısımlarını etkilemeyecek şekilde geçersiz olacaktır.</t>
    </r>
  </si>
  <si>
    <r>
      <rPr>
        <sz val="11"/>
        <color indexed="8"/>
        <rFont val="Verdana"/>
        <family val="2"/>
      </rPr>
      <t>Listeye ya da herhangi bir Araca erişerek ya da bunları kullanarak, Kullanıcı yukarıdaki hususları kabul etmiş olacaktır.</t>
    </r>
    <r>
      <rPr>
        <sz val="11"/>
        <color indexed="8"/>
        <rFont val="Verdana"/>
        <family val="2"/>
      </rPr>
      <t xml:space="preserve"> </t>
    </r>
  </si>
  <si>
    <r>
      <rPr>
        <sz val="11"/>
        <color indexed="8"/>
        <rFont val="Verdana"/>
        <family val="2"/>
      </rPr>
      <t>ÖĞE</t>
    </r>
  </si>
  <si>
    <r>
      <rPr>
        <sz val="11"/>
        <color indexed="8"/>
        <rFont val="Verdana"/>
        <family val="2"/>
      </rPr>
      <t>3TG</t>
    </r>
  </si>
  <si>
    <r>
      <rPr>
        <sz val="11"/>
        <color indexed="8"/>
        <rFont val="Verdana"/>
        <family val="2"/>
      </rPr>
      <t>İzin Yetkilisi</t>
    </r>
  </si>
  <si>
    <r>
      <rPr>
        <sz val="11"/>
        <color indexed="8"/>
        <rFont val="Verdana"/>
        <family val="2"/>
      </rPr>
      <t>CFSP Uyumlu İzabe Tesisi Listesi</t>
    </r>
  </si>
  <si>
    <r>
      <rPr>
        <sz val="11"/>
        <color indexed="8"/>
        <rFont val="Verdana"/>
        <family val="2"/>
      </rPr>
      <t>İhtilafsız İzabe Tesisi Programı (CFSP)</t>
    </r>
  </si>
  <si>
    <r>
      <rPr>
        <sz val="11"/>
        <color indexed="8"/>
        <rFont val="Verdana"/>
        <family val="2"/>
      </rPr>
      <t>İhtilafsız Kaynak Edinme Girişimi</t>
    </r>
  </si>
  <si>
    <r>
      <rPr>
        <sz val="11"/>
        <color indexed="8"/>
        <rFont val="Verdana"/>
        <family val="2"/>
      </rPr>
      <t>İhtilaf Konusu Maden</t>
    </r>
  </si>
  <si>
    <r>
      <rPr>
        <sz val="11"/>
        <color indexed="8"/>
        <rFont val="Verdana"/>
        <family val="2"/>
      </rPr>
      <t>Kapsam Dahilindeki Ülke(ler)</t>
    </r>
  </si>
  <si>
    <r>
      <rPr>
        <sz val="11"/>
        <color indexed="8"/>
        <rFont val="Verdana"/>
        <family val="2"/>
      </rPr>
      <t>Beyan Kapsamı ya da S</t>
    </r>
    <r>
      <rPr>
        <sz val="11"/>
        <color indexed="8"/>
        <rFont val="Verdana"/>
        <family val="2"/>
      </rPr>
      <t>ınıfı</t>
    </r>
  </si>
  <si>
    <r>
      <rPr>
        <sz val="11"/>
        <color indexed="8"/>
        <rFont val="Verdana"/>
        <family val="2"/>
      </rPr>
      <t>Dodd-Frank</t>
    </r>
  </si>
  <si>
    <r>
      <rPr>
        <sz val="11"/>
        <color indexed="8"/>
        <rFont val="Verdana"/>
        <family val="2"/>
      </rPr>
      <t>DKC</t>
    </r>
  </si>
  <si>
    <r>
      <rPr>
        <sz val="11"/>
        <color indexed="8"/>
        <rFont val="Verdana"/>
        <family val="2"/>
      </rPr>
      <t>DKC ihtilafı içermeyen</t>
    </r>
  </si>
  <si>
    <r>
      <rPr>
        <sz val="11"/>
        <color indexed="8"/>
        <rFont val="Verdana"/>
        <family val="2"/>
      </rPr>
      <t>EICC</t>
    </r>
  </si>
  <si>
    <r>
      <rPr>
        <sz val="11"/>
        <color indexed="8"/>
        <rFont val="Verdana"/>
        <family val="2"/>
      </rPr>
      <t>GeSI</t>
    </r>
    <r>
      <rPr>
        <sz val="11"/>
        <color indexed="8"/>
        <rFont val="Verdana"/>
        <family val="2"/>
      </rPr>
      <t xml:space="preserve"> </t>
    </r>
  </si>
  <si>
    <r>
      <rPr>
        <sz val="11"/>
        <color indexed="8"/>
        <rFont val="Verdana"/>
        <family val="2"/>
      </rPr>
      <t>Altın (Au) rafinerisi (izabe tesisi)</t>
    </r>
  </si>
  <si>
    <r>
      <rPr>
        <sz val="11"/>
        <color indexed="8"/>
        <rFont val="Verdana"/>
        <family val="2"/>
      </rPr>
      <t>Bağımsız Üçüncü Kişi Denetim Firması</t>
    </r>
  </si>
  <si>
    <r>
      <rPr>
        <sz val="11"/>
        <color indexed="8"/>
        <rFont val="Verdana"/>
        <family val="2"/>
      </rPr>
      <t>Kasten eklenmiş</t>
    </r>
  </si>
  <si>
    <r>
      <rPr>
        <sz val="11"/>
        <color indexed="8"/>
        <rFont val="Verdana"/>
        <family val="2"/>
      </rPr>
      <t>IPC</t>
    </r>
  </si>
  <si>
    <r>
      <rPr>
        <sz val="11"/>
        <color indexed="8"/>
        <rFont val="Verdana"/>
        <family val="2"/>
      </rPr>
      <t>IPC-1755 İhtilaf Konusu Maden Veri Alışverişi Standardı</t>
    </r>
  </si>
  <si>
    <r>
      <rPr>
        <sz val="11"/>
        <color indexed="8"/>
        <rFont val="Verdana"/>
        <family val="2"/>
      </rPr>
      <t>Bir Ürünün İşlevselliği için Gerekli</t>
    </r>
  </si>
  <si>
    <r>
      <rPr>
        <sz val="11"/>
        <color indexed="8"/>
        <rFont val="Verdana"/>
        <family val="2"/>
      </rPr>
      <t>Bir Ürünün İmalatı için Gerekli</t>
    </r>
  </si>
  <si>
    <r>
      <rPr>
        <sz val="11"/>
        <color indexed="8"/>
        <rFont val="Verdana"/>
        <family val="2"/>
      </rPr>
      <t>OECD</t>
    </r>
  </si>
  <si>
    <r>
      <rPr>
        <sz val="11"/>
        <color indexed="8"/>
        <rFont val="Verdana"/>
        <family val="2"/>
      </rPr>
      <t>Ürün</t>
    </r>
  </si>
  <si>
    <r>
      <rPr>
        <sz val="11"/>
        <color indexed="8"/>
        <rFont val="Verdana"/>
        <family val="2"/>
      </rPr>
      <t>Geri Dönüşüm veya Hurda Kaynakları</t>
    </r>
  </si>
  <si>
    <r>
      <rPr>
        <sz val="11"/>
        <color indexed="8"/>
        <rFont val="Verdana"/>
        <family val="2"/>
      </rPr>
      <t>SEC</t>
    </r>
  </si>
  <si>
    <r>
      <rPr>
        <sz val="11"/>
        <color indexed="8"/>
        <rFont val="Verdana"/>
        <family val="2"/>
      </rPr>
      <t>İzabe Tesisi</t>
    </r>
  </si>
  <si>
    <r>
      <rPr>
        <sz val="11"/>
        <color indexed="8"/>
        <rFont val="Verdana"/>
        <family val="2"/>
      </rPr>
      <t>İzabe Tesisi Tanımlama Numarası</t>
    </r>
  </si>
  <si>
    <r>
      <rPr>
        <sz val="11"/>
        <color indexed="8"/>
        <rFont val="Verdana"/>
        <family val="2"/>
      </rPr>
      <t>Tantal (Ta) izabe tesisi</t>
    </r>
  </si>
  <si>
    <r>
      <rPr>
        <sz val="11"/>
        <color indexed="8"/>
        <rFont val="Verdana"/>
        <family val="2"/>
      </rPr>
      <t>Kalay (Sn) izabe tesisi</t>
    </r>
  </si>
  <si>
    <r>
      <rPr>
        <sz val="11"/>
        <color indexed="8"/>
        <rFont val="Verdana"/>
        <family val="2"/>
      </rPr>
      <t>Tungsten (W) izabe tesisi</t>
    </r>
  </si>
  <si>
    <r>
      <rPr>
        <sz val="11"/>
        <color indexed="8"/>
        <rFont val="Verdana"/>
        <family val="2"/>
      </rPr>
      <t>TANIM</t>
    </r>
  </si>
  <si>
    <r>
      <rPr>
        <sz val="11"/>
        <color indexed="8"/>
        <rFont val="Verdana"/>
        <family val="2"/>
      </rPr>
      <t>Tantal, kalay, tungsten, altın</t>
    </r>
  </si>
  <si>
    <r>
      <rPr>
        <sz val="11"/>
        <color indexed="8"/>
        <rFont val="Verdana"/>
        <family val="2"/>
      </rPr>
      <t>Bu alan, beyanın içeriğinden sorumlu kişiyi tanımlama amacı taşır.</t>
    </r>
    <r>
      <rPr>
        <sz val="11"/>
        <color indexed="8"/>
        <rFont val="Verdana"/>
        <family val="2"/>
      </rPr>
      <t xml:space="preserve"> </t>
    </r>
    <r>
      <rPr>
        <sz val="11"/>
        <color indexed="8"/>
        <rFont val="Verdana"/>
        <family val="2"/>
      </rPr>
      <t>İzin yetkilisi, irtibat kişisinden farklı bir kişi olabilir.</t>
    </r>
    <r>
      <rPr>
        <sz val="11"/>
        <color indexed="8"/>
        <rFont val="Verdana"/>
        <family val="2"/>
      </rPr>
      <t xml:space="preserve"> </t>
    </r>
    <r>
      <rPr>
        <sz val="11"/>
        <color indexed="8"/>
        <rFont val="Verdana"/>
        <family val="2"/>
      </rPr>
      <t>İzin yetkilisinin adı belirtilirken “aynı” gibi ifadelerin kullanılması doğru olmayacaktır.</t>
    </r>
    <r>
      <rPr>
        <sz val="11"/>
        <color indexed="8"/>
        <rFont val="Verdana"/>
        <family val="2"/>
      </rPr>
      <t xml:space="preserve"> </t>
    </r>
  </si>
  <si>
    <r>
      <rPr>
        <sz val="10"/>
        <color indexed="8"/>
        <rFont val="Verdana"/>
        <family val="2"/>
      </rPr>
      <t>İhtilafsız İzabe Tesisi Programı (CFSP) Uyumlu İzabe Tesisi Listesi, İhtilafsız Kaynak Edinme Girişiminin (CFSI) bir programı olan CFSP'nin ya da sektördeki eşdeğer bir programın (Sorumlu Mücevher Şirketleri Konseyi veya Londra Bulyon Pazarı Birliği gibi) denetiminden geçmiş ve protokollere uyumlu olduğu tespit edilmiş izabe tesisleri ve rafinerilerin yayınlanmış listesini oluşturur.</t>
    </r>
    <r>
      <rPr>
        <sz val="10"/>
        <color indexed="8"/>
        <rFont val="Verdana"/>
        <family val="2"/>
      </rPr>
      <t xml:space="preserve"> </t>
    </r>
    <r>
      <rPr>
        <sz val="10"/>
        <color indexed="8"/>
        <rFont val="Verdana"/>
        <family val="2"/>
      </rPr>
      <t>Bir izabe tesisi ya da rafinerinin listede olmaması, bir CFSP denetiminden geçmediği ya da CFSP protokollerine uymadığı anlamına gelir.</t>
    </r>
    <r>
      <rPr>
        <sz val="10"/>
        <color indexed="8"/>
        <rFont val="Verdana"/>
        <family val="2"/>
      </rPr>
      <t xml:space="preserve"> </t>
    </r>
    <r>
      <rPr>
        <sz val="10"/>
        <color indexed="8"/>
        <rFont val="Verdana"/>
        <family val="2"/>
      </rPr>
      <t xml:space="preserve">
CFSP ile uyumlu olduğu doğrulanmış olan izabe tesisleri ve rafinerilerin listesine www.conflictfreesourcing.org adresinden ulaşılabilir.</t>
    </r>
    <r>
      <rPr>
        <sz val="10"/>
        <color indexed="8"/>
        <rFont val="Verdana"/>
        <family val="2"/>
      </rPr>
      <t xml:space="preserve"> </t>
    </r>
  </si>
  <si>
    <r>
      <rPr>
        <sz val="11"/>
        <color indexed="8"/>
        <rFont val="Verdana"/>
        <family val="2"/>
      </rPr>
      <t>İhtilafsız İzabe Tesisi Programı (CFSP), EICC ve GeSI tarafından şirketlerin metalleri sorumlu bir şekilde elde etme kapasitesini iyileştirmek için geliştirilmiş bir programdır.</t>
    </r>
    <r>
      <rPr>
        <sz val="11"/>
        <color indexed="8"/>
        <rFont val="Verdana"/>
        <family val="2"/>
      </rPr>
      <t xml:space="preserve"> </t>
    </r>
    <r>
      <rPr>
        <sz val="11"/>
        <color indexed="8"/>
        <rFont val="Verdana"/>
        <family val="2"/>
      </rPr>
      <t>CFSP ile ilgili daha fazla bilgi için şu adrese başvurabilirsiniz: http://www.conflictfreesourcing.org/conflict-free-smelter-program/.</t>
    </r>
  </si>
  <si>
    <r>
      <rPr>
        <sz val="11"/>
        <color indexed="8"/>
        <rFont val="Verdana"/>
        <family val="2"/>
      </rPr>
      <t>2008 yılında, Electronic Industry Citizenship Coalition ve Küresel e-Sürdürülebilirlik Girişimi üyeleri tarafından kurulan İhtilafsız Kaynak Edinme Girişimi, şirketlerin tedarik zincirlerinde ihtilaf konusu madenler ile ilgili sorunlarla baş edebilmesi için en sık başvurulan ve en saygı duyulan kaynaklardan biri haline gelmiştir.</t>
    </r>
    <r>
      <rPr>
        <sz val="11"/>
        <color indexed="8"/>
        <rFont val="Verdana"/>
        <family val="2"/>
      </rPr>
      <t xml:space="preserve"> </t>
    </r>
    <r>
      <rPr>
        <sz val="11"/>
        <color indexed="8"/>
        <rFont val="Verdana"/>
        <family val="2"/>
      </rPr>
      <t>Günümüzde yedi farklı sektörden, 150'nin üzerinde şirket CFSI'ye katılmış durumdadır ve bu şirketler, İhtilafsız İzabe Tesisi Programı, İhtilaf Konusu Maden Raporlama Şablonu, Makul Menşei Ülke Sorgulama verileri ile ihtilaf konusu maden kaynakları ile ilgili bir dizi kılavuz belgeyi de içeren birçok araç ve kaynağın gelişimine katkıda bulunmuştur.</t>
    </r>
    <r>
      <rPr>
        <sz val="11"/>
        <color indexed="8"/>
        <rFont val="Verdana"/>
        <family val="2"/>
      </rPr>
      <t xml:space="preserve"> </t>
    </r>
    <r>
      <rPr>
        <sz val="11"/>
        <color indexed="8"/>
        <rFont val="Verdana"/>
        <family val="2"/>
      </rPr>
      <t>CFSI aynı zamanda, ihtilaf konusu madenler ile ilgili sorunlar ile ilgili düzenli atölye çalışmaları yürütmekte ve politikaların geliştirilmesine katkıda bulunarak öncü s</t>
    </r>
    <r>
      <rPr>
        <sz val="11"/>
        <color indexed="8"/>
        <rFont val="Verdana"/>
        <family val="2"/>
      </rPr>
      <t>ivil toplum kuruluşları ve hükümetler ile müzakere etmektedir.</t>
    </r>
    <r>
      <rPr>
        <sz val="11"/>
        <color indexed="8"/>
        <rFont val="Verdana"/>
        <family val="2"/>
      </rPr>
      <t xml:space="preserve"> </t>
    </r>
    <r>
      <rPr>
        <sz val="11"/>
        <color indexed="8"/>
        <rFont val="Verdana"/>
        <family val="2"/>
      </rPr>
      <t>Daha fazla bilgi için http://www.conflictfreesourcing.org adresine bakılabilir.</t>
    </r>
  </si>
  <si>
    <r>
      <rPr>
        <sz val="11"/>
        <color indexed="8"/>
        <rFont val="Verdana"/>
        <family val="2"/>
      </rPr>
      <t>2010 tarihli Amerika Birleşik Devletleri yasaları, Dodd-Frank Wall Street Reformu ve Tüketicinin Korunması Kanunu Bölüm 1502(e)(4) kapsamında tanımlanan şekliyle:</t>
    </r>
    <r>
      <rPr>
        <sz val="11"/>
        <color indexed="8"/>
        <rFont val="Verdana"/>
        <family val="2"/>
      </rPr>
      <t xml:space="preserve">
İHTİLAF KONUSU MADEN—‘İhtilaf konusu maden’’ terimi —</t>
    </r>
    <r>
      <rPr>
        <sz val="11"/>
        <color indexed="8"/>
        <rFont val="Verdana"/>
        <family val="2"/>
      </rPr>
      <t xml:space="preserve">
(A) kolu</t>
    </r>
    <r>
      <rPr>
        <sz val="11"/>
        <color indexed="8"/>
        <rFont val="Verdana"/>
        <family val="2"/>
      </rPr>
      <t xml:space="preserve">mbit-tantalit (koltan), kasiterit, altın, volframit veya türevleri ya da </t>
    </r>
    <r>
      <rPr>
        <sz val="11"/>
        <color indexed="8"/>
        <rFont val="Verdana"/>
        <family val="2"/>
      </rPr>
      <t xml:space="preserve">
(B) ABD Dışişleri Bakanlığı tarafından Demokratik Kongo Cumhuriyeti ya da komşu ülkelerindeki ihtilaflara finansman sağladığı belirlenen diğer madenler veya türevlerini kapsamaktadır.</t>
    </r>
    <r>
      <rPr>
        <sz val="11"/>
        <color indexed="8"/>
        <rFont val="Verdana"/>
        <family val="2"/>
      </rPr>
      <t xml:space="preserve"> </t>
    </r>
    <r>
      <rPr>
        <sz val="11"/>
        <color indexed="8"/>
        <rFont val="Verdana"/>
        <family val="2"/>
      </rPr>
      <t>(http://www.sec.gov/about/laws/wallstreetreform-cpa.pdf adresinden ulaşılabilir)</t>
    </r>
  </si>
  <si>
    <r>
      <rPr>
        <sz val="11"/>
        <color indexed="8"/>
        <rFont val="Verdana"/>
        <family val="2"/>
      </rPr>
      <t>ABD Dodd-Frank Wall Street Reformu ve 2010 tarihli Tüketicinin Korunması Kanunu tarafından tanımlanan şekliyle Kapsam Dahilindeki Ülke(ler).</t>
    </r>
    <r>
      <rPr>
        <sz val="11"/>
        <color indexed="8"/>
        <rFont val="Verdana"/>
        <family val="2"/>
      </rPr>
      <t xml:space="preserve"> </t>
    </r>
    <r>
      <rPr>
        <sz val="11"/>
        <color indexed="8"/>
        <rFont val="Verdana"/>
        <family val="2"/>
      </rPr>
      <t>Bu ülkeler, Demokratik Kongo Cumhur</t>
    </r>
    <r>
      <rPr>
        <sz val="11"/>
        <color indexed="8"/>
        <rFont val="Verdana"/>
        <family val="2"/>
      </rPr>
      <t>iyeti ile bu ülkenin sınırlarını paylaştığı uluslararası kapsamda kabul edilen dokuz ülkeyi içerir:</t>
    </r>
    <r>
      <rPr>
        <sz val="11"/>
        <color indexed="8"/>
        <rFont val="Verdana"/>
        <family val="2"/>
      </rPr>
      <t xml:space="preserve"> </t>
    </r>
    <r>
      <rPr>
        <sz val="11"/>
        <color indexed="8"/>
        <rFont val="Verdana"/>
        <family val="2"/>
      </rPr>
      <t>Angola, Burundi, Orta Afrika Cumhuriyeti, Kongo Cumhuriyeti, Ruanda, Güney Sudan, Tanzanya, Uganda, Zambiya.</t>
    </r>
    <r>
      <rPr>
        <sz val="11"/>
        <color indexed="8"/>
        <rFont val="Verdana"/>
        <family val="2"/>
      </rPr>
      <t xml:space="preserve"> </t>
    </r>
  </si>
  <si>
    <r>
      <rPr>
        <sz val="11"/>
        <color indexed="8"/>
        <rFont val="Verdana"/>
        <family val="2"/>
      </rPr>
      <t>Bu şablonun amaçları çerçevesinde, “kapsam” ifadesi, bildirimi yapan şirketin sağladığı bilgilerin geçerlilik alanını ifade etmektedir.</t>
    </r>
    <r>
      <rPr>
        <sz val="11"/>
        <color indexed="8"/>
        <rFont val="Verdana"/>
        <family val="2"/>
      </rPr>
      <t xml:space="preserve"> </t>
    </r>
    <r>
      <rPr>
        <sz val="11"/>
        <color indexed="8"/>
        <rFont val="Verdana"/>
        <family val="2"/>
      </rPr>
      <t>Kapsam, bir şirketin hizmet ve/veya ürünlerinin tamamını ya da şirketin takdirinde olmak üzere bir kısmını içerebilir, şablon belirli bir ürün (ya da ürünler) hakkında bildirim yapmak için kullanılabilir ya da ‘Kullanıcı tanımlı’ olabilir.</t>
    </r>
    <r>
      <rPr>
        <sz val="11"/>
        <color indexed="8"/>
        <rFont val="Verdana"/>
        <family val="2"/>
      </rPr>
      <t xml:space="preserve"> </t>
    </r>
    <r>
      <rPr>
        <sz val="11"/>
        <color indexed="8"/>
        <rFont val="Verdana"/>
        <family val="2"/>
      </rPr>
      <t>‘Kullanıcı tanımlı’ kapsam seçimi ya da sınıfı, bir şirketin işletim ya da ürün portföyünün herhangi bir alt kümesini açıklamak için kullanılabilir.</t>
    </r>
  </si>
  <si>
    <r>
      <rPr>
        <sz val="11"/>
        <color indexed="8"/>
        <rFont val="Verdana"/>
        <family val="2"/>
      </rPr>
      <t>2010 Amerika Birleşik Devletleri yasaları, Dodd-Frank Wall Street Reformu ve Tüketicinin Korunması Kanunu, Bölüm 1502 (“Dodd-Frank”) (http://www.sec.gov/about/laws/wallstreetreform-cpa.pdf)</t>
    </r>
  </si>
  <si>
    <r>
      <rPr>
        <sz val="11"/>
        <color indexed="8"/>
        <rFont val="Verdana"/>
        <family val="2"/>
      </rPr>
      <t>Demokratik Kongo Cumhuriyeti</t>
    </r>
  </si>
  <si>
    <r>
      <rPr>
        <sz val="11"/>
        <color indexed="8"/>
        <rFont val="Verdana"/>
        <family val="2"/>
      </rPr>
      <t>Demokratik Kongo Cumhuriyeti veya komşu ülkelerindeki silahlı gruplara doğrudan ya da dolaylı olarak finansman sağlayan ya da bunlara fayda sunan maden içermeyen ürünler.</t>
    </r>
    <r>
      <rPr>
        <sz val="11"/>
        <color indexed="8"/>
        <rFont val="Verdana"/>
        <family val="2"/>
      </rPr>
      <t xml:space="preserve"> </t>
    </r>
    <r>
      <rPr>
        <sz val="11"/>
        <color indexed="8"/>
        <rFont val="Verdana"/>
        <family val="2"/>
      </rPr>
      <t>Kaynak:</t>
    </r>
    <r>
      <rPr>
        <sz val="11"/>
        <color indexed="8"/>
        <rFont val="Verdana"/>
        <family val="2"/>
      </rPr>
      <t xml:space="preserve"> </t>
    </r>
    <r>
      <rPr>
        <sz val="11"/>
        <color indexed="8"/>
        <rFont val="Verdana"/>
        <family val="2"/>
      </rPr>
      <t>2010 Amerika Birleşik Devletleri yasaları, Dodd-Frank Wall Street Reformu ve Tüketicinin Korunması Kanunu, Bölüm 1502 (http://www.sec.gov/about/laws/wallstreetreform-cpa.pdf)</t>
    </r>
  </si>
  <si>
    <r>
      <rPr>
        <sz val="11"/>
        <color indexed="8"/>
        <rFont val="Verdana"/>
        <family val="2"/>
      </rPr>
      <t>Electronic Industry Citizenship Coalition (www.eicc.info)</t>
    </r>
  </si>
  <si>
    <r>
      <rPr>
        <sz val="11"/>
        <color indexed="8"/>
        <rFont val="Verdana"/>
        <family val="2"/>
      </rPr>
      <t>Küresel e-Sürdürülebilirlik Girişimi (www.gesi.org)</t>
    </r>
  </si>
  <si>
    <r>
      <rPr>
        <sz val="11"/>
        <color indexed="8"/>
        <rFont val="Verdana"/>
        <family val="2"/>
      </rPr>
      <t>Bir altın rafinerisi, altın ya da daha düşük konsantrasyonlarda altın içeren maddelerden %99,5 ya da üzeri konsantrasyona sahip sarı altın</t>
    </r>
    <r>
      <rPr>
        <sz val="11"/>
        <color indexed="8"/>
        <rFont val="Verdana"/>
        <family val="2"/>
      </rPr>
      <t xml:space="preserve"> üreten bir metalurjik işlemdir.</t>
    </r>
    <r>
      <rPr>
        <sz val="11"/>
        <color indexed="8"/>
        <rFont val="Verdana"/>
        <family val="2"/>
      </rPr>
      <t xml:space="preserve"> </t>
    </r>
    <r>
      <rPr>
        <sz val="11"/>
        <color indexed="8"/>
        <rFont val="Verdana"/>
        <family val="2"/>
      </rPr>
      <t>Eksiksiz bir açıklama için bu metalin CFSP denetleme protokolüne başvurun: http://www.conflictfreesourcing.org/audit-protocols-procedures/.</t>
    </r>
  </si>
  <si>
    <r>
      <rPr>
        <sz val="11"/>
        <color indexed="8"/>
        <rFont val="Verdana"/>
        <family val="2"/>
      </rPr>
      <t>İzabe tesisi denetimleri bağlamında, “Bağımsız Üçüncü Kişi Denetim Firmaları” izabe tesisinin ya da rafinerinin malzemelerinin izlenebilirliğini CFSP veya eşdeğer denetim protokollerine uygun şekilde değerlendirme konusunda yetkin özel sektör kuruluşlarıdır.</t>
    </r>
    <r>
      <rPr>
        <sz val="11"/>
        <color indexed="8"/>
        <rFont val="Verdana"/>
        <family val="2"/>
      </rPr>
      <t xml:space="preserve"> </t>
    </r>
    <r>
      <rPr>
        <sz val="11"/>
        <color indexed="8"/>
        <rFont val="Verdana"/>
        <family val="2"/>
      </rPr>
      <t>Tarafsızlığı korumak için bu kuruluşun ve denetim ekibi üyelerinin denetlenen kurum ile herhangi bir çıkar çatışması içerisinde olmaması gerekmektedir.</t>
    </r>
  </si>
  <si>
    <r>
      <rPr>
        <sz val="11"/>
        <color indexed="8"/>
        <rFont val="Verdana"/>
        <family val="2"/>
      </rPr>
      <t>Kasten eklenmiş ifadesi, bir maddenin ya da bu durumda bir metalin, özel bir karakter, görünüm ya da özellik katmak amacıyla bir formülde kasti bir şekilde kullanılması olarak bilinir.</t>
    </r>
    <r>
      <rPr>
        <sz val="11"/>
        <color indexed="8"/>
        <rFont val="Verdana"/>
        <family val="2"/>
      </rPr>
      <t xml:space="preserve">
SEC “kasten eklenmiş” ifadesini nihai kurallarda* tam olarak kullanmıyor olsa da önsöz kısmında şu ifade yer alır:</t>
    </r>
    <r>
      <rPr>
        <sz val="11"/>
        <color indexed="8"/>
        <rFont val="Verdana"/>
        <family val="2"/>
      </rPr>
      <t xml:space="preserve">
“İhtilaf konusu bir maddenin bir ürünün “imalatı ya da işlevselliği için gerekli” olup olmadığının belirlenmesinde doğal olarak ortaya çıkan yan ürün olması yerine kasten eklenmiş olmasının önemli bir faktör olduğunu kabul ediyoruz.</t>
    </r>
    <r>
      <rPr>
        <sz val="11"/>
        <color indexed="8"/>
        <rFont val="Verdana"/>
        <family val="2"/>
      </rPr>
      <t xml:space="preserve"> </t>
    </r>
    <r>
      <rPr>
        <sz val="11"/>
        <color indexed="8"/>
        <rFont val="Verdana"/>
        <family val="2"/>
      </rPr>
      <t>Bu, ihtilaf konusu madenin üründe yer aldığı sürece, bu ürünü kimin kasten eklediğinden bağımsız olarak doğru bir ifade olacaktır.</t>
    </r>
    <r>
      <rPr>
        <sz val="11"/>
        <color indexed="8"/>
        <rFont val="Verdana"/>
        <family val="2"/>
      </rPr>
      <t xml:space="preserve"> </t>
    </r>
    <r>
      <rPr>
        <sz val="11"/>
        <color indexed="8"/>
        <rFont val="Verdana"/>
        <family val="2"/>
      </rPr>
      <t>Bir ihtilaf konusu madenin bir ürün için “gerekli” olup olmadığının tespiti, ihtilaf konusu madenin ürüne doğrudan hazırlayan tarafından eklenmiş olup olmaması ya da hazırlayanın üçüncü kişiden aldığı bir ürün bileşenine eklenmiş olup olmamasına bağlı olmamalıdır.</t>
    </r>
    <r>
      <rPr>
        <sz val="11"/>
        <color indexed="8"/>
        <rFont val="Verdana"/>
        <family val="2"/>
      </rPr>
      <t xml:space="preserve"> </t>
    </r>
    <r>
      <rPr>
        <sz val="11"/>
        <color indexed="8"/>
        <rFont val="Verdana"/>
        <family val="2"/>
      </rPr>
      <t>Bunun yerine, hazırlayan kişi ‘ürünün toplamı ile ilgili bildirimde bulunmalı ve gerekliliklere uyacak tedarikçiler ile birlikte çalışmalıdır.’</t>
    </r>
    <r>
      <rPr>
        <sz val="11"/>
        <color indexed="8"/>
        <rFont val="Verdana"/>
        <family val="2"/>
      </rPr>
      <t xml:space="preserve"> </t>
    </r>
    <r>
      <rPr>
        <sz val="11"/>
        <color indexed="8"/>
        <rFont val="Verdana"/>
        <family val="2"/>
      </rPr>
      <t>Bu nedenle, ihtilaf konusu bir madenin bir ürün için gerekli olup olmadığının belirlenmesinde, bu ihtilaf konusu maden üründe yalnızca orijinal olarak üçüncü kişi tarafından imal edilen bir ürün bileşenine dahil olduğu halde üründe olsa dahi hazırlayan kişi ürününde herhangi bir ihtilaf konusu maden bulunup bulunmadığını göz önünde bulundurmalıdır.</t>
    </r>
    <r>
      <rPr>
        <sz val="11"/>
        <color indexed="8"/>
        <rFont val="Verdana"/>
        <family val="2"/>
      </rPr>
      <t xml:space="preserve">
*(56296 Federal Sicil / Sayı.</t>
    </r>
    <r>
      <rPr>
        <sz val="11"/>
        <color indexed="8"/>
        <rFont val="Verdana"/>
        <family val="2"/>
      </rPr>
      <t xml:space="preserve"> </t>
    </r>
    <r>
      <rPr>
        <sz val="11"/>
        <color indexed="8"/>
        <rFont val="Verdana"/>
        <family val="2"/>
      </rPr>
      <t>77, No. 177 / 12 Eylül 2012 Çarşamba / Kurallar ve Düzenlemeler)</t>
    </r>
  </si>
  <si>
    <r>
      <rPr>
        <sz val="11"/>
        <color indexed="8"/>
        <rFont val="Verdana"/>
        <family val="2"/>
      </rPr>
      <t>IPC (www.IPC.org) merkezi Bannockburn, Ill.'de bulunan bir sanayi birliğidir ve tasarım, baskılı devre imalatı, elektronik tertibatı ve testi de içeren şekilde ele</t>
    </r>
    <r>
      <rPr>
        <sz val="11"/>
        <color indexed="8"/>
        <rFont val="Verdana"/>
        <family val="2"/>
      </rPr>
      <t>ktronik sektörünün her yönünü temsil eden 3.400 üye şirketin rekabetçi mükemmellik ve mali başarısına adanmıştır.</t>
    </r>
    <r>
      <rPr>
        <sz val="11"/>
        <color indexed="8"/>
        <rFont val="Verdana"/>
        <family val="2"/>
      </rPr>
      <t xml:space="preserve"> </t>
    </r>
    <r>
      <rPr>
        <sz val="11"/>
        <color indexed="8"/>
        <rFont val="Verdana"/>
        <family val="2"/>
      </rPr>
      <t>Üyelerin öncülüğünde ilerleyen bir kuruluş ve sektör standartları, eğitim, pazar araştırması ve kamu düzeni savunuculuğu açısından öncü bir kaynak olan IPC tahmini olarak 2,0 trilyon $ değerinde küresel elektronik sektörünün ihtiyaçlarını karşılayacak programları desteklemektedir.</t>
    </r>
    <r>
      <rPr>
        <sz val="11"/>
        <color indexed="8"/>
        <rFont val="Verdana"/>
        <family val="2"/>
      </rPr>
      <t xml:space="preserve"> </t>
    </r>
    <r>
      <rPr>
        <sz val="11"/>
        <color indexed="8"/>
        <rFont val="Verdana"/>
        <family val="2"/>
      </rPr>
      <t>IPC'nin Taos, N.M.; Washington, D.C.; Stockholm, İsveç; Moskova, Rusya; Bangalore, Hindistan; Bangkok, Tayl</t>
    </r>
    <r>
      <rPr>
        <sz val="11"/>
        <color indexed="8"/>
        <rFont val="Verdana"/>
        <family val="2"/>
      </rPr>
      <t>and ve Şangay, Shenzhen, Chengdu, Suzhou ve Pekin, Çin'de de ofisleri bulunmaktadır.</t>
    </r>
  </si>
  <si>
    <r>
      <rPr>
        <sz val="11"/>
        <color indexed="8"/>
        <rFont val="Verdana"/>
        <family val="2"/>
      </rPr>
      <t>Bu IPC standardı, tedarikçiler ile müşterileri arasında ihtilaf konusu maden alışverişi için gereklilikleri tanımlamaktadır.</t>
    </r>
    <r>
      <rPr>
        <sz val="11"/>
        <color indexed="8"/>
        <rFont val="Verdana"/>
        <family val="2"/>
      </rPr>
      <t xml:space="preserve"> </t>
    </r>
    <r>
      <rPr>
        <sz val="11"/>
        <color indexed="8"/>
        <rFont val="Verdana"/>
        <family val="2"/>
      </rPr>
      <t>Bu standart, kapsamlı bir kullanıcı yelpazesinin ihtiyaçlarını karşılamak için tek bir beyana dahil edilen ürün kapsamı konusunda esneklik sağlamaktadır.</t>
    </r>
    <r>
      <rPr>
        <sz val="11"/>
        <color indexed="8"/>
        <rFont val="Verdana"/>
        <family val="2"/>
      </rPr>
      <t xml:space="preserve"> </t>
    </r>
    <r>
      <rPr>
        <sz val="11"/>
        <color indexed="8"/>
        <rFont val="Verdana"/>
        <family val="2"/>
      </rPr>
      <t>Bu standart, bir uyumluluk kılavuzu değildir.</t>
    </r>
    <r>
      <rPr>
        <sz val="11"/>
        <color indexed="8"/>
        <rFont val="Verdana"/>
        <family val="2"/>
      </rPr>
      <t xml:space="preserve"> </t>
    </r>
  </si>
  <si>
    <r>
      <rPr>
        <sz val="11"/>
        <color indexed="8"/>
        <rFont val="Verdana"/>
        <family val="2"/>
      </rPr>
      <t>SEC, nihai kurallarda bu ifade için resmi bir tanım vermemekte, ancak bir miktar kılavuzluk sağlamaktaydı:</t>
    </r>
    <r>
      <rPr>
        <sz val="11"/>
        <color indexed="8"/>
        <rFont val="Verdana"/>
        <family val="2"/>
      </rPr>
      <t xml:space="preserve"> </t>
    </r>
    <r>
      <rPr>
        <sz val="11"/>
        <color indexed="8"/>
        <rFont val="Verdana"/>
        <family val="2"/>
      </rPr>
      <t>İhtilaf konusu bir maden, aşağıdaki koşulları sağlaması durumuna işlevsellik için gerekli görülecektir:</t>
    </r>
    <r>
      <rPr>
        <sz val="11"/>
        <color indexed="8"/>
        <rFont val="Verdana"/>
        <family val="2"/>
      </rPr>
      <t xml:space="preserve"> </t>
    </r>
    <r>
      <rPr>
        <sz val="11"/>
        <color indexed="8"/>
        <rFont val="Verdana"/>
        <family val="2"/>
      </rPr>
      <t>1) kasten ürüne veya ürünün herhangi bir bileşenine eklenmesi ve doğal olarak ortaya çıkan bir yan ürün olmaması, 2) ürünün genel olarak beklenen işlevi, kullanım alanı veya amacı için gerekli olması ve 3) ürünün birincil amacının süsleme ya da dekorasyon olmasından bağımsız olarak süsleme, dekorasyon veya donatma amacıyla eklenmiş olması.</t>
    </r>
    <r>
      <rPr>
        <sz val="11"/>
        <color indexed="8"/>
        <rFont val="Verdana"/>
        <family val="2"/>
      </rPr>
      <t xml:space="preserve">
NOT:</t>
    </r>
    <r>
      <rPr>
        <sz val="11"/>
        <color indexed="8"/>
        <rFont val="Verdana"/>
        <family val="2"/>
      </rPr>
      <t xml:space="preserve"> </t>
    </r>
    <r>
      <rPr>
        <sz val="11"/>
        <color indexed="8"/>
        <rFont val="Verdana"/>
        <family val="2"/>
      </rPr>
      <t>Geçerli olması için ihtilaf konusu madenin ürünün içinde bulunması gerekmektedir.</t>
    </r>
    <r>
      <rPr>
        <sz val="11"/>
        <color indexed="8"/>
        <rFont val="Verdana"/>
        <family val="2"/>
      </rPr>
      <t xml:space="preserve">
*(56296 Federal Sicil / Sayı.</t>
    </r>
    <r>
      <rPr>
        <sz val="11"/>
        <color indexed="8"/>
        <rFont val="Verdana"/>
        <family val="2"/>
      </rPr>
      <t xml:space="preserve"> </t>
    </r>
    <r>
      <rPr>
        <sz val="11"/>
        <color indexed="8"/>
        <rFont val="Verdana"/>
        <family val="2"/>
      </rPr>
      <t>77, No. 177 / 12 Eylül 2012 Çarşamba / Kurallar ve Düzenlemeler)</t>
    </r>
  </si>
  <si>
    <r>
      <rPr>
        <sz val="11"/>
        <color indexed="8"/>
        <rFont val="Verdana"/>
        <family val="2"/>
      </rPr>
      <t>SEC, nihai kurallarda bu ifade için resmi bir tanım vermemekte, ancak bir miktar kılavuzluk sağlamaktaydı:</t>
    </r>
    <r>
      <rPr>
        <sz val="11"/>
        <color indexed="8"/>
        <rFont val="Verdana"/>
        <family val="2"/>
      </rPr>
      <t xml:space="preserve"> </t>
    </r>
    <r>
      <rPr>
        <sz val="11"/>
        <color indexed="8"/>
        <rFont val="Verdana"/>
        <family val="2"/>
      </rPr>
      <t>İhtilaf konusu maden aşağıdaki durumlarda ürün imalatı için gerekli görülecektir:</t>
    </r>
    <r>
      <rPr>
        <sz val="11"/>
        <color indexed="8"/>
        <rFont val="Verdana"/>
        <family val="2"/>
      </rPr>
      <t xml:space="preserve"> </t>
    </r>
    <r>
      <rPr>
        <sz val="11"/>
        <color indexed="8"/>
        <rFont val="Verdana"/>
        <family val="2"/>
      </rPr>
      <t>1) ürünün imalatında kullanılan araç, makine veya ekipmanda (bilgisayarlar veya enerji hatları gibi) bulunduğu durumlar haricinde ürünün imalat sürecine kasten dahil edilmiş olması; 2) ürüne dahil edilmiş olması (geçerli olması için ihtilaf konusu madenin ürünün içinde bulunması gerekmektedir) ve 3) ve ürün için gerekli olması.</t>
    </r>
    <r>
      <rPr>
        <sz val="11"/>
        <color indexed="8"/>
        <rFont val="Verdana"/>
        <family val="2"/>
      </rPr>
      <t xml:space="preserve">
*(56296 Federal Sicil / Sayı.</t>
    </r>
    <r>
      <rPr>
        <sz val="11"/>
        <color indexed="8"/>
        <rFont val="Verdana"/>
        <family val="2"/>
      </rPr>
      <t xml:space="preserve"> </t>
    </r>
    <r>
      <rPr>
        <sz val="11"/>
        <color indexed="8"/>
        <rFont val="Verdana"/>
        <family val="2"/>
      </rPr>
      <t>77, No. 177 / 12 Eylül 2012 Çarşamba / Kurallar ve Düzenlemeler)</t>
    </r>
    <r>
      <rPr>
        <sz val="11"/>
        <rFont val="Verdana"/>
        <family val="2"/>
      </rPr>
      <t xml:space="preserve">
</t>
    </r>
  </si>
  <si>
    <r>
      <rPr>
        <sz val="11"/>
        <color indexed="8"/>
        <rFont val="Verdana"/>
        <family val="2"/>
      </rPr>
      <t>Ekonomik Kalkınma ve İşbirliği Örgütü</t>
    </r>
  </si>
  <si>
    <r>
      <rPr>
        <sz val="11"/>
        <color indexed="8"/>
        <rFont val="Verdana"/>
        <family val="2"/>
      </rPr>
      <t>Bir şirketin ürünü ya da son ürünü, imalat ve/veya işleme almanın son aşamasında tamamlanan bir malzeme ya da öğedir ve müşterilere dağıtım ya da satış yoluyla ulaştırılır.</t>
    </r>
  </si>
  <si>
    <r>
      <rPr>
        <sz val="11"/>
        <color indexed="8"/>
        <rFont val="Verdana"/>
        <family val="2"/>
      </rPr>
      <t>Geri dönüşüm veya hurda kaynakları, son kullanıcı ya da tüketici sonrası ürünler olarak bilinen ya da ürün imalatı sırasında oluşan hurda işleminden geçmiş metallerdir.</t>
    </r>
    <r>
      <rPr>
        <sz val="11"/>
        <color indexed="8"/>
        <rFont val="Verdana"/>
        <family val="2"/>
      </rPr>
      <t xml:space="preserve"> </t>
    </r>
    <r>
      <rPr>
        <sz val="11"/>
        <color indexed="8"/>
        <rFont val="Verdana"/>
        <family val="2"/>
      </rPr>
      <t>Geri dönüştürülmüş metaller, kalay, tantal, tungsten ve/veya altın üretiminde geri dönüşüme uygun arıtılmış ya da işlemden geçmiş metaller içeren fazla, kusurlu ve hurda metal parçalarını içerir.</t>
    </r>
    <r>
      <rPr>
        <sz val="11"/>
        <color indexed="8"/>
        <rFont val="Verdana"/>
        <family val="2"/>
      </rPr>
      <t xml:space="preserve"> </t>
    </r>
    <r>
      <rPr>
        <sz val="11"/>
        <color indexed="8"/>
        <rFont val="Verdana"/>
        <family val="2"/>
      </rPr>
      <t>Kısmen işlemden geçmiş, işlemden geçmemiş veya diğer cevherlerin yan ürünü niteliğindeki madenler geri dönüştürülmüş metal tanımına dahil değildir.</t>
    </r>
  </si>
  <si>
    <r>
      <rPr>
        <sz val="11"/>
        <color indexed="8"/>
        <rFont val="Verdana"/>
        <family val="2"/>
      </rPr>
      <t>ABD Menkul Kıymetler ve Döviz Komisyonu (www.sec.gov)</t>
    </r>
  </si>
  <si>
    <r>
      <rPr>
        <sz val="11"/>
        <color indexed="8"/>
        <rFont val="Verdana"/>
        <family val="2"/>
      </rPr>
      <t>İzabe tesisleri ya da rafineriler, madeni cevher, cüruf ve/veya geri dönüştürülmüş ya da hurda kaynakları tedarik eden ya da işlemden geçmiş metallere ya da metal içeren ara ürünlere dönüştüren şirketlerdir.</t>
    </r>
    <r>
      <rPr>
        <sz val="11"/>
        <color indexed="8"/>
        <rFont val="Verdana"/>
        <family val="2"/>
      </rPr>
      <t xml:space="preserve"> </t>
    </r>
    <r>
      <rPr>
        <sz val="11"/>
        <color indexed="8"/>
        <rFont val="Verdana"/>
        <family val="2"/>
      </rPr>
      <t>Çıktı olarak saf (%99,5 veya üzeri) metal, toz, külçe, çubuk, tanecik, oksit ya da tuz elde edilebilir.</t>
    </r>
    <r>
      <rPr>
        <sz val="11"/>
        <color indexed="8"/>
        <rFont val="Verdana"/>
        <family val="2"/>
      </rPr>
      <t xml:space="preserve"> </t>
    </r>
    <r>
      <rPr>
        <sz val="11"/>
        <color indexed="8"/>
        <rFont val="Verdana"/>
        <family val="2"/>
      </rPr>
      <t>“İzabe tesisi” ve “rafineri” terimleri farklı yayınlarda birbiri yerine kullanılmaktadır.</t>
    </r>
    <r>
      <rPr>
        <sz val="11"/>
        <color indexed="8"/>
        <rFont val="Verdana"/>
        <family val="2"/>
      </rPr>
      <t xml:space="preserve"> </t>
    </r>
  </si>
  <si>
    <r>
      <rPr>
        <sz val="11"/>
        <color indexed="8"/>
        <rFont val="Verdana"/>
        <family val="2"/>
      </rPr>
      <t>CFSP denetim protokollerinde tanımlanan izabe tesisi veya rafineri özelliklerini karşıladığı doğrulanmış olsun ya da olmasın CFSI'nin tedarik zincirinde izabe tesisi ya da rafineri olduğu belirtilen şirketlere atadığı benzersiz tanımlama numarası.</t>
    </r>
  </si>
  <si>
    <r>
      <rPr>
        <sz val="11"/>
        <color indexed="8"/>
        <rFont val="Verdana"/>
        <family val="2"/>
      </rPr>
      <t>Tantal izabe tesisleri (işlemci olarak da bilinir) Ta içeren cevherleri, konsantratları, cürufları ya da ikincil maddeleri doğrudan satan ya da tantal ara ürünlerine ya da Ta tozları, Ta bileşenleri, Ta oksitler, alaşımlar, teller, toplaşık çubuklar gibi diğer Ta içeren ürünlere dönüştüren şirketlerdir. Eksiksiz bir açıklama için bu metalin CFSP denetleme protokolüne başvurun: http://www.conflictfreesourcing.org/audit-protocols-procedures/.</t>
    </r>
  </si>
  <si>
    <r>
      <rPr>
        <sz val="11"/>
        <color indexed="8"/>
        <rFont val="Verdana"/>
        <family val="2"/>
      </rPr>
      <t>Birincil [kalay</t>
    </r>
    <r>
      <rPr>
        <sz val="11"/>
        <color indexed="8"/>
        <rFont val="Verdana"/>
        <family val="2"/>
      </rPr>
      <t>]</t>
    </r>
    <r>
      <rPr>
        <sz val="11"/>
        <color indexed="8"/>
        <rFont val="Verdana"/>
        <family val="2"/>
      </rPr>
      <t xml:space="preserve"> izabe tesisleri, kalay metali üretmek için kalay içeren cevher konsantratlarını işleme alan bir veya daha fazla tesise sahip şirketlerdir.</t>
    </r>
    <r>
      <rPr>
        <sz val="11"/>
        <color indexed="8"/>
        <rFont val="Verdana"/>
        <family val="2"/>
      </rPr>
      <t xml:space="preserve"> </t>
    </r>
    <r>
      <rPr>
        <sz val="11"/>
        <color indexed="8"/>
        <rFont val="Verdana"/>
        <family val="2"/>
      </rPr>
      <t>İkincil [kalay</t>
    </r>
    <r>
      <rPr>
        <sz val="11"/>
        <color indexed="8"/>
        <rFont val="Verdana"/>
        <family val="2"/>
      </rPr>
      <t>]</t>
    </r>
    <r>
      <rPr>
        <sz val="11"/>
        <color indexed="8"/>
        <rFont val="Verdana"/>
        <family val="2"/>
      </rPr>
      <t xml:space="preserve"> izabe tesisleri, ham veya daha yüksek dereceli kalay veya lehim gibi kalay ürünleri üretmek için ikincil malzemeleri işleme alan bir veya daha fazla tesise sahip şirketlerdir.</t>
    </r>
    <r>
      <rPr>
        <sz val="11"/>
        <color indexed="8"/>
        <rFont val="Verdana"/>
        <family val="2"/>
      </rPr>
      <t xml:space="preserve"> </t>
    </r>
    <r>
      <rPr>
        <sz val="11"/>
        <color indexed="8"/>
        <rFont val="Verdana"/>
        <family val="2"/>
      </rPr>
      <t>Bu denetim protokolü kapsamında atıfta bulunulan izabe tesisleri bir veya iki işletme türünden olabilir.</t>
    </r>
    <r>
      <rPr>
        <sz val="11"/>
        <color indexed="8"/>
        <rFont val="Verdana"/>
        <family val="2"/>
      </rPr>
      <t xml:space="preserve"> </t>
    </r>
    <r>
      <rPr>
        <sz val="11"/>
        <color indexed="8"/>
        <rFont val="Verdana"/>
        <family val="2"/>
      </rPr>
      <t>Eksiksiz bir açıklama için bu metalin CFSP denetleme protokolüne başvurun: http://www.conflictfreesourcing.org/audit-protocols-procedures/.</t>
    </r>
  </si>
  <si>
    <r>
      <rPr>
        <sz val="11"/>
        <color indexed="8"/>
        <rFont val="Verdana"/>
        <family val="2"/>
      </rPr>
      <t xml:space="preserve">W içeren cevherleri (volframit ve şelit gibi), W konsantratlarını ya da W içeren hurdaları (ikincil malzeme) doğrudan satmak ya da W içeren diğer ürünlere (W tozu veya W karbür tozu gibi) dönüştürmek için, Amonyum Para Tungstat (APT), Amonyum Meta Tungstat (AMT), ferrotungsten ve tungsten oksitler gibi tungsten içeren ara ürünlere dönüştüren bir veya daha fazla tesis sahibi şirket. </t>
    </r>
    <r>
      <rPr>
        <sz val="11"/>
        <color indexed="8"/>
        <rFont val="Verdana"/>
        <family val="2"/>
      </rPr>
      <t xml:space="preserve"> </t>
    </r>
    <r>
      <rPr>
        <sz val="11"/>
        <color indexed="8"/>
        <rFont val="Verdana"/>
        <family val="2"/>
      </rPr>
      <t>Eksiksiz bir açıklama için bu metalin CFSP denetleme protokolüne başvurun: http://www.conflictfreesourcing.org/audit-protocols-procedures/.</t>
    </r>
  </si>
  <si>
    <r>
      <rPr>
        <sz val="11"/>
        <color indexed="8"/>
        <rFont val="Verdana"/>
        <family val="2"/>
      </rPr>
      <t>Zorunlu alanların doldurulma düzeyini kontrol etmek için buraya tıklayın</t>
    </r>
  </si>
  <si>
    <r>
      <rPr>
        <sz val="11"/>
        <color indexed="8"/>
        <rFont val="Verdana"/>
        <family val="2"/>
      </rPr>
      <t>Bir (1) veya daha fazla zorunlu alanın doldurulması gerekiyor</t>
    </r>
  </si>
  <si>
    <r>
      <rPr>
        <sz val="11"/>
        <color indexed="8"/>
        <rFont val="Verdana"/>
        <family val="2"/>
      </rPr>
      <t>Şartlar ve Koşullara yönlendiren Bağlantı</t>
    </r>
  </si>
  <si>
    <r>
      <rPr>
        <sz val="11"/>
        <color indexed="8"/>
        <rFont val="Verdana"/>
        <family val="2"/>
      </rPr>
      <t>Bu belge, ürünlerde kullanılan kalay, tantal, tungsten ve altın hakkında kaynak bilgisi toplamayı amaçlamaktadır.</t>
    </r>
  </si>
  <si>
    <r>
      <rPr>
        <sz val="11"/>
        <color indexed="8"/>
        <rFont val="Verdana"/>
        <family val="2"/>
      </rPr>
      <t>Şirket Bilgileri</t>
    </r>
  </si>
  <si>
    <r>
      <rPr>
        <sz val="11"/>
        <color indexed="8"/>
        <rFont val="Verdana"/>
        <family val="2"/>
      </rPr>
      <t>Şirket Adı (*):</t>
    </r>
  </si>
  <si>
    <r>
      <rPr>
        <sz val="11"/>
        <color indexed="8"/>
        <rFont val="Verdana"/>
        <family val="2"/>
      </rPr>
      <t>Beyan Kapsamı ya da Sınıfı (*):</t>
    </r>
  </si>
  <si>
    <r>
      <rPr>
        <sz val="11"/>
        <color indexed="8"/>
        <rFont val="Verdana"/>
        <family val="2"/>
      </rPr>
      <t>Kapsam Açıklaması:</t>
    </r>
  </si>
  <si>
    <r>
      <rPr>
        <sz val="11"/>
        <color indexed="8"/>
        <rFont val="Verdana"/>
        <family val="2"/>
      </rPr>
      <t>Kapsam Açıklaması: (*)</t>
    </r>
  </si>
  <si>
    <r>
      <rPr>
        <sz val="11"/>
        <color indexed="8"/>
        <rFont val="Verdana"/>
        <family val="2"/>
      </rPr>
      <t>Bu beyanın geçerli olduğu ürünleri girmek için Ürün Listesi sekmesine ilerleyin</t>
    </r>
  </si>
  <si>
    <r>
      <rPr>
        <sz val="11"/>
        <color indexed="8"/>
        <rFont val="Verdana"/>
        <family val="2"/>
      </rPr>
      <t>Bu beyanın geçerli olduğu ürünleri girmek için buraya tıklayın</t>
    </r>
  </si>
  <si>
    <r>
      <rPr>
        <sz val="11"/>
        <color indexed="8"/>
        <rFont val="Verdana"/>
        <family val="2"/>
      </rPr>
      <t>Şirket Benzersiz Kimlik Numarası:</t>
    </r>
  </si>
  <si>
    <r>
      <rPr>
        <sz val="11"/>
        <color indexed="8"/>
        <rFont val="Verdana"/>
        <family val="2"/>
      </rPr>
      <t>Şirket Benzersiz Kimlik Numarasını Belirleyen Kurum:</t>
    </r>
  </si>
  <si>
    <r>
      <rPr>
        <sz val="11"/>
        <color indexed="8"/>
        <rFont val="Verdana"/>
        <family val="2"/>
      </rPr>
      <t>Adres:</t>
    </r>
  </si>
  <si>
    <r>
      <rPr>
        <sz val="11"/>
        <color indexed="8"/>
        <rFont val="Verdana"/>
        <family val="2"/>
      </rPr>
      <t>İrtibat Kişisinin Adı (*):</t>
    </r>
  </si>
  <si>
    <r>
      <rPr>
        <sz val="11"/>
        <color indexed="8"/>
        <rFont val="Verdana"/>
        <family val="2"/>
      </rPr>
      <t>E-posta – İrtibat (*):</t>
    </r>
  </si>
  <si>
    <r>
      <rPr>
        <sz val="11"/>
        <color indexed="8"/>
        <rFont val="Verdana"/>
        <family val="2"/>
      </rPr>
      <t>Telefon – İrtibat (*):</t>
    </r>
  </si>
  <si>
    <r>
      <rPr>
        <sz val="11"/>
        <color indexed="8"/>
        <rFont val="Verdana"/>
        <family val="2"/>
      </rPr>
      <t>İzin Yetkilisi (*):</t>
    </r>
  </si>
  <si>
    <r>
      <rPr>
        <sz val="11"/>
        <color indexed="8"/>
        <rFont val="Verdana"/>
        <family val="2"/>
      </rPr>
      <t>Unvan - İzin Yetkilisi:</t>
    </r>
  </si>
  <si>
    <r>
      <rPr>
        <sz val="11"/>
        <color indexed="8"/>
        <rFont val="Verdana"/>
        <family val="2"/>
      </rPr>
      <t>E-posta - İzin Yetkilisi (*):</t>
    </r>
  </si>
  <si>
    <r>
      <rPr>
        <sz val="11"/>
        <color indexed="8"/>
        <rFont val="Verdana"/>
        <family val="2"/>
      </rPr>
      <t>Telefon - İzin Yetkilisi (*):</t>
    </r>
  </si>
  <si>
    <r>
      <rPr>
        <sz val="11"/>
        <color indexed="8"/>
        <rFont val="Verdana"/>
        <family val="2"/>
      </rPr>
      <t>Yürürlük Tarihi (*):</t>
    </r>
  </si>
  <si>
    <r>
      <rPr>
        <sz val="11"/>
        <color indexed="8"/>
        <rFont val="Verdana"/>
        <family val="2"/>
      </rPr>
      <t>Aşağıdaki 1 ile 7 arası soruları yukarıda gösterilen beyan kapsamına uygun şekilde yanıtlayın</t>
    </r>
  </si>
  <si>
    <r>
      <rPr>
        <sz val="10"/>
        <color indexed="8"/>
        <rFont val="Verdana"/>
        <family val="2"/>
      </rPr>
      <t>1) 3TG ürününüze kasten mi eklendi? (*)</t>
    </r>
  </si>
  <si>
    <r>
      <rPr>
        <sz val="10"/>
        <color indexed="8"/>
        <rFont val="Verdana"/>
        <family val="2"/>
      </rPr>
      <t>2) 3TG şirketinizin ürünlerinin imalatı için gerekli mi ya da şirketinizin ürettiği veya üretme sözleşmesi yaptığı nihai ürünlerin içinde bulunuyor mu? (*)</t>
    </r>
  </si>
  <si>
    <r>
      <rPr>
        <sz val="10"/>
        <color indexed="8"/>
        <rFont val="Verdana"/>
        <family val="2"/>
      </rPr>
      <t>4) 3TG (ürünlerinizin imalatı veya işlevselliği için gerekli) yüzde 100 oranda geri dönüşüm ya da hurda kaynaklarından elde ediliyor mu?</t>
    </r>
    <r>
      <rPr>
        <sz val="10"/>
        <color indexed="8"/>
        <rFont val="Verdana"/>
        <family val="2"/>
      </rPr>
      <t xml:space="preserve"> </t>
    </r>
  </si>
  <si>
    <r>
      <rPr>
        <sz val="10"/>
        <color indexed="8"/>
        <rFont val="Verdana"/>
        <family val="2"/>
      </rPr>
      <t>5) İlgili tedarikçilerden her bir 3TG için gerekli verileri/bilgileri aldınız mı?</t>
    </r>
  </si>
  <si>
    <r>
      <rPr>
        <sz val="10"/>
        <color indexed="8"/>
        <rFont val="Verdana"/>
        <family val="2"/>
      </rPr>
      <t>6) Tedarik zincirinize 3TG sağlayan tüm izabe tesislerini tanımladınız mı?</t>
    </r>
    <r>
      <rPr>
        <sz val="10"/>
        <color indexed="8"/>
        <rFont val="Verdana"/>
        <family val="2"/>
      </rPr>
      <t xml:space="preserve"> </t>
    </r>
  </si>
  <si>
    <r>
      <rPr>
        <sz val="10"/>
        <color indexed="8"/>
        <rFont val="Verdana"/>
        <family val="2"/>
      </rPr>
      <t>7) Şirketinizin aldığı tüm uygulanabilir izabe tesisi bilgileri bu beyanda bildirildi mi?</t>
    </r>
    <r>
      <rPr>
        <sz val="10"/>
        <color indexed="8"/>
        <rFont val="Verdana"/>
        <family val="2"/>
      </rPr>
      <t xml:space="preserve"> </t>
    </r>
  </si>
  <si>
    <r>
      <rPr>
        <sz val="11"/>
        <color indexed="8"/>
        <rFont val="Verdana"/>
        <family val="2"/>
      </rPr>
      <t>Aşağıdaki Soruları Şirket Düzeyinde Yanıtlayın</t>
    </r>
  </si>
  <si>
    <r>
      <rPr>
        <sz val="11"/>
        <color indexed="8"/>
        <rFont val="Verdana"/>
        <family val="2"/>
      </rPr>
      <t>A.</t>
    </r>
    <r>
      <rPr>
        <sz val="11"/>
        <color indexed="8"/>
        <rFont val="Verdana"/>
        <family val="2"/>
      </rPr>
      <t xml:space="preserve"> </t>
    </r>
    <r>
      <rPr>
        <sz val="11"/>
        <color indexed="8"/>
        <rFont val="Verdana"/>
        <family val="2"/>
      </rPr>
      <t>İhtilaf konusu maden kaynakları ile ilgili sorunlar için bir politika uyguluyor musunuz?</t>
    </r>
  </si>
  <si>
    <r>
      <rPr>
        <sz val="11"/>
        <color indexed="8"/>
        <rFont val="Verdana"/>
        <family val="2"/>
      </rPr>
      <t>B.</t>
    </r>
    <r>
      <rPr>
        <sz val="11"/>
        <color indexed="8"/>
        <rFont val="Verdana"/>
        <family val="2"/>
      </rPr>
      <t xml:space="preserve"> </t>
    </r>
    <r>
      <rPr>
        <sz val="11"/>
        <color indexed="8"/>
        <rFont val="Verdana"/>
        <family val="2"/>
      </rPr>
      <t>İhtilaf konusu maden kaynakları ile ilgili politikanız, web sitenizde genel erişime açık mı?</t>
    </r>
    <r>
      <rPr>
        <sz val="11"/>
        <color indexed="8"/>
        <rFont val="Verdana"/>
        <family val="2"/>
      </rPr>
      <t xml:space="preserve"> </t>
    </r>
    <r>
      <rPr>
        <sz val="11"/>
        <color indexed="8"/>
        <rFont val="Verdana"/>
        <family val="2"/>
      </rPr>
      <t>(Not – Cevap evetse, kullanıcı açıklama alanına ilgili URL'yi eklemelidir.)</t>
    </r>
  </si>
  <si>
    <r>
      <rPr>
        <sz val="11"/>
        <color indexed="8"/>
        <rFont val="Verdana"/>
        <family val="2"/>
      </rPr>
      <t>C.</t>
    </r>
    <r>
      <rPr>
        <sz val="11"/>
        <color indexed="8"/>
        <rFont val="Verdana"/>
        <family val="2"/>
      </rPr>
      <t xml:space="preserve"> </t>
    </r>
    <r>
      <rPr>
        <sz val="11"/>
        <color indexed="8"/>
        <rFont val="Verdana"/>
        <family val="2"/>
      </rPr>
      <t>Doğrudan tedarikçilerinizin DKC ihtilafı içermeyen şirketler olmasını şart koşuyor musunuz?</t>
    </r>
  </si>
  <si>
    <r>
      <rPr>
        <sz val="10"/>
        <color indexed="8"/>
        <rFont val="Verdana"/>
        <family val="2"/>
      </rPr>
      <t>D.</t>
    </r>
    <r>
      <rPr>
        <sz val="10"/>
        <color indexed="8"/>
        <rFont val="Verdana"/>
        <family val="2"/>
      </rPr>
      <t xml:space="preserve"> </t>
    </r>
    <r>
      <rPr>
        <sz val="10"/>
        <color indexed="8"/>
        <rFont val="Verdana"/>
        <family val="2"/>
      </rPr>
      <t>Doğrudan tedarikçilerinizin 3TG'yi durum tespiti uygulamaları bağımsız üçüncü kişi denetim programları tarafından onaylanmış şirketlerden edinmesini şart koşuyor musunuz?</t>
    </r>
  </si>
  <si>
    <r>
      <rPr>
        <sz val="10"/>
        <color indexed="8"/>
        <rFont val="Verdana"/>
        <family val="2"/>
      </rPr>
      <t>E.</t>
    </r>
    <r>
      <rPr>
        <sz val="10"/>
        <color indexed="8"/>
        <rFont val="Verdana"/>
        <family val="2"/>
      </rPr>
      <t xml:space="preserve"> </t>
    </r>
    <r>
      <rPr>
        <sz val="10"/>
        <color indexed="8"/>
        <rFont val="Verdana"/>
        <family val="2"/>
      </rPr>
      <t>İhtilafsız kaynak edinimi için durum tespiti tedbirlerini uygulamaya koydunuz mu?</t>
    </r>
  </si>
  <si>
    <r>
      <rPr>
        <sz val="10"/>
        <color indexed="8"/>
        <rFont val="Verdana"/>
        <family val="2"/>
      </rPr>
      <t>F.</t>
    </r>
    <r>
      <rPr>
        <sz val="10"/>
        <color indexed="8"/>
        <rFont val="Verdana"/>
        <family val="2"/>
      </rPr>
      <t xml:space="preserve"> </t>
    </r>
    <r>
      <rPr>
        <sz val="10"/>
        <color indexed="8"/>
        <rFont val="Verdana"/>
        <family val="2"/>
      </rPr>
      <t>Tedarikçilerinizden IPC-1755 İhtilaf Konusu Maden Veri Alışverişi Standardına uygun şekilde [ör: CFSI İhtilaf Konusu Maden Raporlama Şablonu</t>
    </r>
    <r>
      <rPr>
        <sz val="10"/>
        <color indexed="8"/>
        <rFont val="Verdana"/>
        <family val="2"/>
      </rPr>
      <t>]</t>
    </r>
    <r>
      <rPr>
        <sz val="10"/>
        <color indexed="8"/>
        <rFont val="Verdana"/>
        <family val="2"/>
      </rPr>
      <t xml:space="preserve"> ihtilaf konusu maden bilgileri topluyor musunuz?</t>
    </r>
  </si>
  <si>
    <r>
      <rPr>
        <sz val="11"/>
        <color indexed="8"/>
        <rFont val="Verdana"/>
        <family val="2"/>
      </rPr>
      <t>G.</t>
    </r>
    <r>
      <rPr>
        <sz val="11"/>
        <color indexed="8"/>
        <rFont val="Verdana"/>
        <family val="2"/>
      </rPr>
      <t xml:space="preserve"> </t>
    </r>
    <r>
      <rPr>
        <sz val="11"/>
        <color indexed="8"/>
        <rFont val="Verdana"/>
        <family val="2"/>
      </rPr>
      <t>Tedarikçilerinizden izabe tesisi adı alıyor musunuz?</t>
    </r>
  </si>
  <si>
    <r>
      <rPr>
        <sz val="11"/>
        <color indexed="8"/>
        <rFont val="Verdana"/>
        <family val="2"/>
      </rPr>
      <t>H.</t>
    </r>
    <r>
      <rPr>
        <sz val="11"/>
        <color indexed="8"/>
        <rFont val="Verdana"/>
        <family val="2"/>
      </rPr>
      <t xml:space="preserve"> </t>
    </r>
    <r>
      <rPr>
        <sz val="11"/>
        <color indexed="8"/>
        <rFont val="Verdana"/>
        <family val="2"/>
      </rPr>
      <t>Tedarikçilerinizden edindiğiniz durum tespiti bilgilerini şirketinizin beklentileri ile karşılaştırarak değerlendiriyor musunuz?</t>
    </r>
  </si>
  <si>
    <r>
      <rPr>
        <sz val="11"/>
        <color indexed="8"/>
        <rFont val="Verdana"/>
        <family val="2"/>
      </rPr>
      <t>I.</t>
    </r>
    <r>
      <rPr>
        <sz val="11"/>
        <color indexed="8"/>
        <rFont val="Verdana"/>
        <family val="2"/>
      </rPr>
      <t xml:space="preserve"> </t>
    </r>
    <r>
      <rPr>
        <sz val="11"/>
        <color indexed="8"/>
        <rFont val="Verdana"/>
        <family val="2"/>
      </rPr>
      <t>Değerlendirme süreciniz düzeltici eylem yönetimini içeriyor mu?</t>
    </r>
  </si>
  <si>
    <r>
      <rPr>
        <sz val="11"/>
        <color indexed="8"/>
        <rFont val="Verdana"/>
        <family val="2"/>
      </rPr>
      <t>J.</t>
    </r>
    <r>
      <rPr>
        <sz val="11"/>
        <color indexed="8"/>
        <rFont val="Verdana"/>
        <family val="2"/>
      </rPr>
      <t xml:space="preserve"> </t>
    </r>
    <r>
      <rPr>
        <sz val="11"/>
        <color indexed="8"/>
        <rFont val="Verdana"/>
        <family val="2"/>
      </rPr>
      <t>SEC İhtilaf Konusu Maden kurallarına tâbi misiniz?</t>
    </r>
  </si>
  <si>
    <r>
      <rPr>
        <sz val="11"/>
        <color indexed="8"/>
        <rFont val="Verdana"/>
        <family val="2"/>
      </rPr>
      <t>Yanıt</t>
    </r>
  </si>
  <si>
    <r>
      <rPr>
        <sz val="11"/>
        <color indexed="8"/>
        <rFont val="Verdana"/>
        <family val="2"/>
      </rPr>
      <t>Soru</t>
    </r>
  </si>
  <si>
    <r>
      <rPr>
        <sz val="11"/>
        <color indexed="8"/>
        <rFont val="Verdana"/>
        <family val="2"/>
      </rPr>
      <t>Açıklamalar</t>
    </r>
  </si>
  <si>
    <r>
      <rPr>
        <sz val="11"/>
        <color indexed="8"/>
        <rFont val="Verdana"/>
        <family val="2"/>
      </rPr>
      <t>Tantal</t>
    </r>
    <r>
      <rPr>
        <sz val="11"/>
        <color indexed="8"/>
        <rFont val="Verdana"/>
        <family val="2"/>
      </rPr>
      <t xml:space="preserve"> </t>
    </r>
  </si>
  <si>
    <r>
      <rPr>
        <sz val="11"/>
        <color indexed="8"/>
        <rFont val="Verdana"/>
        <family val="2"/>
      </rPr>
      <t>Kalay</t>
    </r>
    <r>
      <rPr>
        <sz val="11"/>
        <color indexed="8"/>
        <rFont val="Verdana"/>
        <family val="2"/>
      </rPr>
      <t xml:space="preserve"> </t>
    </r>
  </si>
  <si>
    <r>
      <rPr>
        <sz val="11"/>
        <color indexed="8"/>
        <rFont val="Verdana"/>
        <family val="2"/>
      </rPr>
      <t>Altın</t>
    </r>
    <r>
      <rPr>
        <sz val="11"/>
        <color indexed="8"/>
        <rFont val="Verdana"/>
        <family val="2"/>
      </rPr>
      <t xml:space="preserve"> </t>
    </r>
  </si>
  <si>
    <r>
      <rPr>
        <sz val="11"/>
        <color indexed="8"/>
        <rFont val="Verdana"/>
        <family val="2"/>
      </rPr>
      <t>Tungsten</t>
    </r>
    <r>
      <rPr>
        <sz val="11"/>
        <color indexed="8"/>
        <rFont val="Verdana"/>
        <family val="2"/>
      </rPr>
      <t xml:space="preserve"> </t>
    </r>
  </si>
  <si>
    <r>
      <rPr>
        <sz val="11"/>
        <color indexed="8"/>
        <rFont val="Verdana"/>
        <family val="2"/>
      </rPr>
      <t>Açıklamalar ve Ekler</t>
    </r>
  </si>
  <si>
    <r>
      <rPr>
        <sz val="11"/>
        <color indexed="8"/>
        <rFont val="Verdana"/>
        <family val="2"/>
      </rPr>
      <t>Evet</t>
    </r>
  </si>
  <si>
    <r>
      <rPr>
        <sz val="11"/>
        <color indexed="8"/>
        <rFont val="Verdana"/>
        <family val="2"/>
      </rPr>
      <t>Hayır</t>
    </r>
  </si>
  <si>
    <r>
      <rPr>
        <sz val="11"/>
        <color indexed="8"/>
        <rFont val="Verdana"/>
        <family val="2"/>
      </rPr>
      <t>Bilinmiyor</t>
    </r>
  </si>
  <si>
    <r>
      <rPr>
        <sz val="11"/>
        <color indexed="8"/>
        <rFont val="Verdana"/>
        <family val="2"/>
      </rPr>
      <t>Evet, %100</t>
    </r>
  </si>
  <si>
    <r>
      <rPr>
        <sz val="11"/>
        <color indexed="8"/>
        <rFont val="Verdana"/>
        <family val="2"/>
      </rPr>
      <t>Hayır, ancak %75'ten fazla</t>
    </r>
    <r>
      <rPr>
        <sz val="11"/>
        <color indexed="8"/>
        <rFont val="Verdana"/>
        <family val="2"/>
      </rPr>
      <t xml:space="preserve"> </t>
    </r>
  </si>
  <si>
    <r>
      <rPr>
        <sz val="11"/>
        <color indexed="8"/>
        <rFont val="Verdana"/>
        <family val="2"/>
      </rPr>
      <t>Hayır, ancak %50'den fazla</t>
    </r>
  </si>
  <si>
    <r>
      <rPr>
        <sz val="11"/>
        <color indexed="8"/>
        <rFont val="Verdana"/>
        <family val="2"/>
      </rPr>
      <t>Hayır, ancak %25'ten fazla</t>
    </r>
  </si>
  <si>
    <r>
      <rPr>
        <sz val="11"/>
        <color indexed="8"/>
        <rFont val="Verdana"/>
        <family val="2"/>
      </rPr>
      <t>Hayır, ancak %25'ten az</t>
    </r>
  </si>
  <si>
    <r>
      <rPr>
        <sz val="11"/>
        <color indexed="8"/>
        <rFont val="Verdana"/>
        <family val="2"/>
      </rPr>
      <t>Hiçbiri</t>
    </r>
  </si>
  <si>
    <r>
      <rPr>
        <sz val="11"/>
        <color indexed="8"/>
        <rFont val="Verdana"/>
        <family val="2"/>
      </rPr>
      <t>Metal</t>
    </r>
  </si>
  <si>
    <r>
      <rPr>
        <sz val="11"/>
        <color indexed="8"/>
        <rFont val="Verdana"/>
        <family val="2"/>
      </rPr>
      <t>İzabe Tesisi Referans Listesi</t>
    </r>
  </si>
  <si>
    <r>
      <rPr>
        <sz val="11"/>
        <color indexed="8"/>
        <rFont val="Verdana"/>
        <family val="2"/>
      </rPr>
      <t>Bilinen rumuz</t>
    </r>
  </si>
  <si>
    <r>
      <rPr>
        <sz val="11"/>
        <color indexed="8"/>
        <rFont val="Verdana"/>
        <family val="2"/>
      </rPr>
      <t>Standart İzabe Tesisi Adları</t>
    </r>
  </si>
  <si>
    <r>
      <rPr>
        <sz val="11"/>
        <color indexed="8"/>
        <rFont val="Verdana"/>
        <family val="2"/>
      </rPr>
      <t>İzabe Tesisi Konumu:</t>
    </r>
    <r>
      <rPr>
        <sz val="11"/>
        <color indexed="8"/>
        <rFont val="Verdana"/>
        <family val="2"/>
      </rPr>
      <t xml:space="preserve"> </t>
    </r>
    <r>
      <rPr>
        <sz val="11"/>
        <color indexed="8"/>
        <rFont val="Verdana"/>
        <family val="2"/>
      </rPr>
      <t>Ülke</t>
    </r>
  </si>
  <si>
    <r>
      <rPr>
        <sz val="11"/>
        <color indexed="8"/>
        <rFont val="Verdana"/>
        <family val="2"/>
      </rPr>
      <t>Eski İzabe Tesisi Kimliği</t>
    </r>
  </si>
  <si>
    <r>
      <rPr>
        <sz val="11"/>
        <color indexed="8"/>
        <rFont val="Verdana"/>
        <family val="2"/>
      </rPr>
      <t>Yeni İzabe Tesisi Kimliği</t>
    </r>
  </si>
  <si>
    <r>
      <rPr>
        <sz val="11"/>
        <color indexed="8"/>
        <rFont val="Verdana"/>
        <family val="2"/>
      </rPr>
      <t>İzabe Tesisi Tanımlama Numarası Kaynağı</t>
    </r>
  </si>
  <si>
    <r>
      <rPr>
        <sz val="11"/>
        <color indexed="8"/>
        <rFont val="Verdana"/>
        <family val="2"/>
      </rPr>
      <t>İzabe Tesisinin Bulunduğu Cadde</t>
    </r>
    <r>
      <rPr>
        <sz val="11"/>
        <color indexed="8"/>
        <rFont val="Verdana"/>
        <family val="2"/>
      </rPr>
      <t xml:space="preserve"> </t>
    </r>
  </si>
  <si>
    <r>
      <rPr>
        <sz val="11"/>
        <color indexed="8"/>
        <rFont val="Verdana"/>
        <family val="2"/>
      </rPr>
      <t>İzabe Tesisinin Bulunduğu Şehir</t>
    </r>
  </si>
  <si>
    <r>
      <rPr>
        <sz val="11"/>
        <color indexed="8"/>
        <rFont val="Verdana"/>
        <family val="2"/>
      </rPr>
      <t>İzabe Tesisi Konumu:</t>
    </r>
    <r>
      <rPr>
        <sz val="11"/>
        <color indexed="8"/>
        <rFont val="Verdana"/>
        <family val="2"/>
      </rPr>
      <t xml:space="preserve"> </t>
    </r>
    <r>
      <rPr>
        <sz val="11"/>
        <color indexed="8"/>
        <rFont val="Verdana"/>
        <family val="2"/>
      </rPr>
      <t>Eyalet/İl</t>
    </r>
  </si>
  <si>
    <r>
      <rPr>
        <sz val="11"/>
        <color indexed="8"/>
        <rFont val="Verdana"/>
        <family val="2"/>
      </rPr>
      <t>Metal (*)</t>
    </r>
  </si>
  <si>
    <r>
      <rPr>
        <sz val="11"/>
        <color indexed="8"/>
        <rFont val="Verdana"/>
        <family val="2"/>
      </rPr>
      <t>İzabe Tesisi Referans Listesi (*)</t>
    </r>
  </si>
  <si>
    <r>
      <rPr>
        <sz val="11"/>
        <color indexed="8"/>
        <rFont val="Verdana"/>
        <family val="2"/>
      </rPr>
      <t>İzabe Tesisi Adı (*)</t>
    </r>
  </si>
  <si>
    <r>
      <rPr>
        <sz val="11"/>
        <color indexed="8"/>
        <rFont val="Verdana"/>
        <family val="2"/>
      </rPr>
      <t>İzabe Tesisinin Bulunduğu Ülke (*)</t>
    </r>
  </si>
  <si>
    <r>
      <rPr>
        <sz val="11"/>
        <color indexed="8"/>
        <rFont val="Verdana"/>
        <family val="2"/>
      </rPr>
      <t>İzabe Tesisi İrtibat Kişisinin Adı</t>
    </r>
  </si>
  <si>
    <r>
      <rPr>
        <sz val="11"/>
        <color indexed="8"/>
        <rFont val="Verdana"/>
        <family val="2"/>
      </rPr>
      <t>İzabe Tesisi İrtibat Kişisinin E-posta Adresi</t>
    </r>
  </si>
  <si>
    <r>
      <rPr>
        <sz val="11"/>
        <color indexed="8"/>
        <rFont val="Verdana"/>
        <family val="2"/>
      </rPr>
      <t>Sonrası için önerilen adımlar</t>
    </r>
  </si>
  <si>
    <r>
      <rPr>
        <sz val="11"/>
        <color indexed="8"/>
        <rFont val="Verdana"/>
        <family val="2"/>
      </rPr>
      <t>Maden(ler)in Adları veya geri dönüşüm ya da hurda kaynaklı ise “geri dönüştürülmüş” ya da “hurda” girdisi</t>
    </r>
  </si>
  <si>
    <r>
      <rPr>
        <sz val="11"/>
        <color indexed="8"/>
        <rFont val="Verdana"/>
        <family val="2"/>
      </rPr>
      <t>Maden(ler)in Konumu (Ülke) veya geri dönüşüm ya da hurda kaynaklı ise “geri dönüştürülmüş” ya da “hurda” girdisi</t>
    </r>
  </si>
  <si>
    <r>
      <rPr>
        <sz val="11"/>
        <color indexed="8"/>
        <rFont val="Verdana"/>
        <family val="2"/>
      </rPr>
      <t>İzabe tesisinin hammaddeleri %100 oranda geri dönüşüm veya hurda kaynaklarından mı geliyor?</t>
    </r>
  </si>
  <si>
    <r>
      <rPr>
        <sz val="11"/>
        <color indexed="8"/>
        <rFont val="Verdana"/>
        <family val="2"/>
      </rPr>
      <t>"CFSP Uyumlu İzabe Tesisi Listesi" bağlantısı</t>
    </r>
  </si>
  <si>
    <r>
      <rPr>
        <sz val="11"/>
        <color indexed="8"/>
        <rFont val="Verdana"/>
        <family val="2"/>
      </rPr>
      <t>İzabe Tesisi Tanımlaması</t>
    </r>
  </si>
  <si>
    <r>
      <rPr>
        <sz val="11"/>
        <color indexed="8"/>
        <rFont val="Verdana"/>
        <family val="2"/>
      </rPr>
      <t>Müşterilerinize göndermeden önce tüm zorunlu alanların doldurulduğundan emin olun. Kırmızı renkle vurgulanmış olan satır öğelerinin bulunup bulunmadığını inceleyin.</t>
    </r>
  </si>
  <si>
    <r>
      <rPr>
        <sz val="11"/>
        <color indexed="8"/>
        <rFont val="Verdana"/>
        <family val="2"/>
      </rPr>
      <t>Doldurulması gereken zorunlu alanlar</t>
    </r>
  </si>
  <si>
    <r>
      <rPr>
        <sz val="11"/>
        <color indexed="8"/>
        <rFont val="Verdana"/>
        <family val="2"/>
      </rPr>
      <t>Zorunlu Alanlar</t>
    </r>
  </si>
  <si>
    <r>
      <rPr>
        <sz val="11"/>
        <color indexed="8"/>
        <rFont val="Verdana"/>
        <family val="2"/>
      </rPr>
      <t>Yanıt verildi</t>
    </r>
  </si>
  <si>
    <r>
      <rPr>
        <sz val="11"/>
        <color indexed="8"/>
        <rFont val="Verdana"/>
        <family val="2"/>
      </rPr>
      <t>Notlar</t>
    </r>
  </si>
  <si>
    <r>
      <rPr>
        <sz val="11"/>
        <color indexed="8"/>
        <rFont val="Verdana"/>
        <family val="2"/>
      </rPr>
      <t>Kaynağa giden köprü bağlantı</t>
    </r>
  </si>
  <si>
    <r>
      <rPr>
        <sz val="11"/>
        <color indexed="8"/>
        <rFont val="Verdana"/>
        <family val="2"/>
      </rPr>
      <t>İzabe Listesi sekmesinde herhangi bir izabe listesi adı verilmedi</t>
    </r>
  </si>
  <si>
    <r>
      <rPr>
        <sz val="11"/>
        <color indexed="8"/>
        <rFont val="Verdana"/>
        <family val="2"/>
      </rPr>
      <t>Şirketinizin adını Beyan sekmesi hücre D8'de belirtin.</t>
    </r>
  </si>
  <si>
    <r>
      <rPr>
        <sz val="11"/>
        <color indexed="8"/>
        <rFont val="Verdana"/>
        <family val="2"/>
      </rPr>
      <t>Beyan kapsamını Beyan sekmesi hücre D9'da belirtin.</t>
    </r>
  </si>
  <si>
    <r>
      <rPr>
        <sz val="11"/>
        <color indexed="8"/>
        <rFont val="Verdana"/>
        <family val="2"/>
      </rPr>
      <t>Kapsam açıklamasını Beyan sekmesi hücre D10'da belirtin.</t>
    </r>
  </si>
  <si>
    <r>
      <rPr>
        <sz val="11"/>
        <color indexed="8"/>
        <rFont val="Verdana"/>
        <family val="2"/>
      </rPr>
      <t>İrtibat kişis</t>
    </r>
    <r>
      <rPr>
        <sz val="11"/>
        <color indexed="8"/>
        <rFont val="Verdana"/>
        <family val="2"/>
      </rPr>
      <t>i adını Beyan sekmesi hücre D15'te belirtin.</t>
    </r>
  </si>
  <si>
    <r>
      <rPr>
        <sz val="11"/>
        <color indexed="8"/>
        <rFont val="Verdana"/>
        <family val="2"/>
      </rPr>
      <t>İrtibat kişisi telefon numarasını Beyan sekmesi hücre D17'de belirtin.</t>
    </r>
  </si>
  <si>
    <r>
      <rPr>
        <sz val="11"/>
        <color indexed="8"/>
        <rFont val="Verdana"/>
        <family val="2"/>
      </rPr>
      <t>Beyan sekmesinde, hücre D18'e yetkili şirket temsilcisinin adını ekleyin.</t>
    </r>
  </si>
  <si>
    <r>
      <rPr>
        <sz val="11"/>
        <color indexed="8"/>
        <rFont val="Verdana"/>
        <family val="2"/>
      </rPr>
      <t>Beyan sekmesinde, hücre D21'e yetkili şirket temsilcisi için bir telefon numarası ekleyin.</t>
    </r>
  </si>
  <si>
    <r>
      <rPr>
        <sz val="11"/>
        <color indexed="8"/>
        <rFont val="Verdana"/>
        <family val="2"/>
      </rPr>
      <t>Beyan sekmesi hücre D22'ye formun doldurulduğu tarihi girin.</t>
    </r>
  </si>
  <si>
    <r>
      <rPr>
        <sz val="11"/>
        <color indexed="8"/>
        <rFont val="Verdana"/>
        <family val="2"/>
      </rPr>
      <t>Tantalın ürünlerinize kasti olarak eklenip eklenmediğini Beyan sekmesi hücre D26'da belirtin.</t>
    </r>
  </si>
  <si>
    <r>
      <rPr>
        <sz val="11"/>
        <color indexed="8"/>
        <rFont val="Verdana"/>
        <family val="2"/>
      </rPr>
      <t>Kalayın ürünlerinize kasti olarak eklenip eklenmediğini Beyan sekmesi hücre D27'de belirtin.</t>
    </r>
  </si>
  <si>
    <r>
      <rPr>
        <sz val="11"/>
        <color indexed="8"/>
        <rFont val="Verdana"/>
        <family val="2"/>
      </rPr>
      <t>Altının ürünlerinize kasti olarak eklenip eklenmediğini Beyan sekmesi hücre D28'de belirtin.</t>
    </r>
  </si>
  <si>
    <r>
      <rPr>
        <sz val="11"/>
        <color indexed="8"/>
        <rFont val="Verdana"/>
        <family val="2"/>
      </rPr>
      <t>Tungstenin ürünlerinize kasti olarak eklenip eklenmediğini Beyan sekmesi hücre D29'da belirtin.</t>
    </r>
  </si>
  <si>
    <r>
      <rPr>
        <sz val="11"/>
        <color indexed="8"/>
        <rFont val="Verdana"/>
        <family val="2"/>
      </rPr>
      <t>Tantalın ürünlerinizin imalat için gerekli olup olmadığını ve son üründe bulunup bulunmadığını Beyan sekmesinde hücre D32'de belirtin.</t>
    </r>
  </si>
  <si>
    <r>
      <rPr>
        <sz val="11"/>
        <color indexed="8"/>
        <rFont val="Verdana"/>
        <family val="2"/>
      </rPr>
      <t>Kalayın ürünlerinizin imalat için gerekli olup olmadığını ve son üründe bulunup bulunmadığını Beyan sekmesinde hücre D33'te belirtin.</t>
    </r>
  </si>
  <si>
    <r>
      <rPr>
        <sz val="11"/>
        <color indexed="8"/>
        <rFont val="Verdana"/>
        <family val="2"/>
      </rPr>
      <t>Altının ürünlerinizin imalat için gerekli olup olmadığını ve son üründe bulunup bulunmadığını Beyan sekmesinde hücre D34'te belirtin.</t>
    </r>
  </si>
  <si>
    <r>
      <rPr>
        <sz val="11"/>
        <color indexed="8"/>
        <rFont val="Verdana"/>
        <family val="2"/>
      </rPr>
      <t>Tungstenin ürünlerinizin imalat için gerekli olup olmadığını ve son üründe bulunup bulunmadığını Beyan sekmesinde hücre D35'te belirtin.</t>
    </r>
  </si>
  <si>
    <r>
      <rPr>
        <sz val="11"/>
        <color indexed="8"/>
        <rFont val="Verdana"/>
        <family val="2"/>
      </rPr>
      <t>Bu anket yanıtlarında bildirilen ürünler kapsamında kullanılan Tantalın DKC veya komşu ülkelerinden edinilip edinilmediğini Beyan sekmesi hücre D38'de belirtin.</t>
    </r>
  </si>
  <si>
    <r>
      <rPr>
        <sz val="11"/>
        <color indexed="8"/>
        <rFont val="Verdana"/>
        <family val="2"/>
      </rPr>
      <t>Bu anket yanıtlarında bildirilen ürünler kapsamında kullanılan Kalayın DKC veya komşu ülkelerinden edinilip edinilmediğini Beyan sekmesi hücre D39'da belirtin.</t>
    </r>
  </si>
  <si>
    <r>
      <rPr>
        <sz val="11"/>
        <color indexed="8"/>
        <rFont val="Verdana"/>
        <family val="2"/>
      </rPr>
      <t>Bu anket yanıtlarında bildirilen ürünler kapsamında kullanılan Altının DKC veya komşu ülkelerinden edinilip edinilmediğini Beyan sekmesi hücre D40'da belirtin.</t>
    </r>
  </si>
  <si>
    <r>
      <rPr>
        <sz val="11"/>
        <color indexed="8"/>
        <rFont val="Verdana"/>
        <family val="2"/>
      </rPr>
      <t>Bu anket yanıtlarında bildirilen ürünler kapsamında kullanılan Tungstenin DKC veya komşu ülkelerinden edinilip edinilmediğini Beyan sekmesi hücre D41'de belirtin.</t>
    </r>
  </si>
  <si>
    <r>
      <rPr>
        <sz val="11"/>
        <color indexed="8"/>
        <rFont val="Verdana"/>
        <family val="2"/>
      </rPr>
      <t>Bu anket yanıtlarında bildirilen ürünler kapsamında kullanılan Tantalın geri dönüşüm veya hurda kaynaklarından edinilip edinilmediğini Beyan sekmesi hücre D44'te belirtin.</t>
    </r>
  </si>
  <si>
    <r>
      <rPr>
        <sz val="11"/>
        <color indexed="8"/>
        <rFont val="Verdana"/>
        <family val="2"/>
      </rPr>
      <t>Bu anket yanıtlarında bildirilen ürünler kapsamında kullanılan Kalayın geri dönüşüm veya hurda kaynaklarından edinilip edinilmediğini Beyan sekmesi hücre D45'te belirtin.</t>
    </r>
  </si>
  <si>
    <r>
      <rPr>
        <sz val="11"/>
        <color indexed="8"/>
        <rFont val="Verdana"/>
        <family val="2"/>
      </rPr>
      <t>Bu anket yanıtlarında bildirilen ürünler kapsamında kullanılan Altının geri dönüşüm veya hurda kaynaklarından edinilip edinilmediğini Beyan sekmesi hücre D46'da belirtin.</t>
    </r>
  </si>
  <si>
    <r>
      <rPr>
        <sz val="11"/>
        <color indexed="8"/>
        <rFont val="Verdana"/>
        <family val="2"/>
      </rPr>
      <t>Bu anket yanıtlarında bildirilen ürünler kapsamında kullanılan Tungstenin geri dönüşüm veya hurda kaynaklarından edinilip edinilmediğini Beyan sekmesi hücre D47'de belirtin.</t>
    </r>
  </si>
  <si>
    <r>
      <rPr>
        <sz val="11"/>
        <color indexed="8"/>
        <rFont val="Verdana"/>
        <family val="2"/>
      </rPr>
      <t>Tedarikçinin izabe tesisi bilgilerinin eksiksizliğini Beyan sekmesi, hücre D50'de belirtin.</t>
    </r>
  </si>
  <si>
    <r>
      <rPr>
        <sz val="11"/>
        <color indexed="8"/>
        <rFont val="Verdana"/>
        <family val="2"/>
      </rPr>
      <t>Tedarikçinin izabe tesisi bilgilerinin eksiksizliğini Beyan sekmesi, hücre D51'de belirtin.</t>
    </r>
  </si>
  <si>
    <r>
      <rPr>
        <sz val="11"/>
        <color indexed="8"/>
        <rFont val="Verdana"/>
        <family val="2"/>
      </rPr>
      <t>Tedarikçinin izabe tesisi bilgilerinin eksiksizliğini Beyan sekmesi, hücre D52'de belirtin.</t>
    </r>
  </si>
  <si>
    <r>
      <rPr>
        <sz val="11"/>
        <color indexed="8"/>
        <rFont val="Verdana"/>
        <family val="2"/>
      </rPr>
      <t>Tedarikçinin izabe tesisi bilgilerinin eksiksizliğini Beyan sekmesi, hücre D53'te belirtin.</t>
    </r>
  </si>
  <si>
    <r>
      <rPr>
        <sz val="11"/>
        <color indexed="8"/>
        <rFont val="Verdana"/>
        <family val="2"/>
      </rPr>
      <t>Bildirilen ürünler kapsamında, bu anket yanıtında tüm izabe tesisi adlarının verilip verilmediğini Beyan sekmesi hücre D56'da belirtin.</t>
    </r>
  </si>
  <si>
    <r>
      <rPr>
        <sz val="11"/>
        <color indexed="8"/>
        <rFont val="Verdana"/>
        <family val="2"/>
      </rPr>
      <t>Bildirilen ürünler kapsamında, bu anket yanıtında tüm izabe tesisi adlarının verilip verilmediğini Beyan sekmesi hücre D57'de belirtin.</t>
    </r>
  </si>
  <si>
    <r>
      <rPr>
        <sz val="11"/>
        <color indexed="8"/>
        <rFont val="Verdana"/>
        <family val="2"/>
      </rPr>
      <t>Bildirilen ürünler kapsamında, bu anket yanıtında tüm izabe tesisi adlarının verilip verilmediğini Beyan sekmesi hücre D58'de belirtin.</t>
    </r>
  </si>
  <si>
    <r>
      <rPr>
        <sz val="11"/>
        <color indexed="8"/>
        <rFont val="Verdana"/>
        <family val="2"/>
      </rPr>
      <t>Bildirilen ürünler kapsamında, bu anket y</t>
    </r>
    <r>
      <rPr>
        <sz val="11"/>
        <color indexed="8"/>
        <rFont val="Verdana"/>
        <family val="2"/>
      </rPr>
      <t>anıtında tüm izabe tesisi adlarının verilip verilmediğini Beyan sekmesi hücre D59'da belirtin.</t>
    </r>
  </si>
  <si>
    <r>
      <rPr>
        <sz val="11"/>
        <color indexed="8"/>
        <rFont val="Verdana"/>
        <family val="2"/>
      </rPr>
      <t>Tüm uygulanabilir Tantal izabe tesisi bilgilerinin verilip verilmediğini hücre D62'de belirtin</t>
    </r>
  </si>
  <si>
    <r>
      <rPr>
        <sz val="11"/>
        <color indexed="8"/>
        <rFont val="Verdana"/>
        <family val="2"/>
      </rPr>
      <t>Tüm uygulanabilir Kalay izabe tesisi bilgilerinin verilip verilmediğini hücre D63'te belirtin</t>
    </r>
  </si>
  <si>
    <r>
      <rPr>
        <sz val="11"/>
        <color indexed="8"/>
        <rFont val="Verdana"/>
        <family val="2"/>
      </rPr>
      <t>Tüm uygulanabilir Altın izabe tesisi bilgilerinin verilip verilmediğini hücre D64'te belirtin</t>
    </r>
  </si>
  <si>
    <r>
      <rPr>
        <sz val="11"/>
        <color indexed="8"/>
        <rFont val="Verdana"/>
        <family val="2"/>
      </rPr>
      <t>Tüm uygulanabilir Tungsten izabe tesisi bilgilerinin verilip verilmediğini hücre D65'te belirtin</t>
    </r>
  </si>
  <si>
    <r>
      <rPr>
        <sz val="11"/>
        <color indexed="8"/>
        <rFont val="Verdana"/>
        <family val="2"/>
      </rPr>
      <t>Şirketinizin bir DKC ihtilafı içermeyen kaynak politikası olup olmadığını Beyan sekmesinde hücre D69'da belirtin</t>
    </r>
  </si>
  <si>
    <r>
      <rPr>
        <sz val="11"/>
        <color indexed="8"/>
        <rFont val="Verdana"/>
        <family val="2"/>
      </rPr>
      <t>Şirketinizin DKC ihtilafı içermeyen kaynak edinme politikasını web sitesinde genel erişime açık bir şekilde sunup sunmadığını Beyan sekmesinde hücre D71'de belirtin.</t>
    </r>
  </si>
  <si>
    <r>
      <rPr>
        <sz val="11"/>
        <color indexed="8"/>
        <rFont val="Verdana"/>
        <family val="2"/>
      </rPr>
      <t>B sorusuna "Evet" yanıtı verdiyseniz, Beyan çalışma sayfasında hücre G71'e URL'yi girin. URL "www.sirketadi.com" biçiminde olmalıdır</t>
    </r>
  </si>
  <si>
    <r>
      <rPr>
        <sz val="11"/>
        <color indexed="8"/>
        <rFont val="Verdana"/>
        <family val="2"/>
      </rPr>
      <t>Doğrudan tedarikçilerinizin DKC ihtilafı içermemesini şart koşup koşmadığınızı Beyan sekmesi hücre D73'te belirtin.</t>
    </r>
  </si>
  <si>
    <r>
      <rPr>
        <sz val="11"/>
        <color indexed="8"/>
        <rFont val="Verdana"/>
        <family val="2"/>
      </rPr>
      <t>Doğrudan tedarikçilerinizin İhtilafsız Kaynak Edinme Girişimi uyumlu izabe tesisi listesini kullanarak DKC ihtilafı içermediği onaylanmış izabe tesislerini kullanmasını şart koşup koşmadığınızı Beyan sekmesi hücre D75'te belirtin.</t>
    </r>
  </si>
  <si>
    <r>
      <rPr>
        <sz val="11"/>
        <color indexed="8"/>
        <rFont val="Verdana"/>
        <family val="2"/>
      </rPr>
      <t>İhtilafsız maden kaynak edinimi durum tespiti tedbirlerini uygulamaya koyup koymadığınızı Beyan sekmesi hücre D77'de belirtin.</t>
    </r>
  </si>
  <si>
    <r>
      <rPr>
        <sz val="11"/>
        <color indexed="8"/>
        <rFont val="Verdana"/>
        <family val="2"/>
      </rPr>
      <t>Tedarikçilerinizin bu İhtilaf Konusu Maden Raporlama Şablonunu doldurmasını şart koşup koşmadığınızı Beyan sekmesi hücre D79'da belirtin.</t>
    </r>
  </si>
  <si>
    <r>
      <rPr>
        <sz val="11"/>
        <color indexed="8"/>
        <rFont val="Verdana"/>
        <family val="2"/>
      </rPr>
      <t>Tedarikçilerinizin izabe tesisi adı vermelerini şart koşup koşmadığınızı Beyan sekmesi hücre D81'de belirtin.</t>
    </r>
  </si>
  <si>
    <r>
      <rPr>
        <sz val="11"/>
        <color indexed="8"/>
        <rFont val="Verdana"/>
        <family val="2"/>
      </rPr>
      <t>Tedarikçi yanıtlarını şirket beklentileri ile karşılaştırarak doğrulayıp doğrulamadığını</t>
    </r>
    <r>
      <rPr>
        <sz val="11"/>
        <color indexed="8"/>
        <rFont val="Verdana"/>
        <family val="2"/>
      </rPr>
      <t>zı Beyan sekmesi hücre D83'te belirtin.</t>
    </r>
  </si>
  <si>
    <r>
      <rPr>
        <sz val="11"/>
        <color indexed="8"/>
        <rFont val="Verdana"/>
        <family val="2"/>
      </rPr>
      <t>Doğrulama sürecinizin düzeltici eylem yönetimini içerip içermediğini Beyan sekmesi hücre D85'te belirtin.</t>
    </r>
  </si>
  <si>
    <r>
      <rPr>
        <sz val="11"/>
        <color indexed="8"/>
        <rFont val="Verdana"/>
        <family val="2"/>
      </rPr>
      <t>SEC Açıklama gerekliliğine tâbi olup olmadığınızı Beyan sekmesi hücre D87'de belirtin.</t>
    </r>
  </si>
  <si>
    <r>
      <rPr>
        <sz val="11"/>
        <color indexed="8"/>
        <rFont val="Verdana"/>
        <family val="2"/>
      </rPr>
      <t>Uygulanabilir ise, bu beyanın geçerli olduğu 1 veya daha fazla Ürün ya da Öğe Numarası sağlayın.</t>
    </r>
    <r>
      <rPr>
        <sz val="11"/>
        <color indexed="8"/>
        <rFont val="Verdana"/>
        <family val="2"/>
      </rPr>
      <t xml:space="preserve"> </t>
    </r>
    <r>
      <rPr>
        <sz val="11"/>
        <color indexed="8"/>
        <rFont val="Verdana"/>
        <family val="2"/>
      </rPr>
      <t>Ürün Listesi sekmesine girmek için Beyan sekmesi hücre 6H1'den köprü bağlantı seçin</t>
    </r>
  </si>
  <si>
    <r>
      <rPr>
        <sz val="11"/>
        <color indexed="8"/>
        <rFont val="Verdana"/>
        <family val="2"/>
      </rPr>
      <t>İzabe Tesisi Listesi sekmesinde tedarik zincirine materyal katkısı sunan izabe tesislerinin listesini sağlayın</t>
    </r>
  </si>
  <si>
    <r>
      <rPr>
        <sz val="11"/>
        <color indexed="8"/>
        <rFont val="Verdana"/>
        <family val="2"/>
      </rPr>
      <t>İzabe Tesisi Listesi sekmesinde tedarik zincirine materyal katkısı sunan tantal izabe tesislerinin listesini sağlayın</t>
    </r>
  </si>
  <si>
    <r>
      <rPr>
        <sz val="11"/>
        <color indexed="8"/>
        <rFont val="Verdana"/>
        <family val="2"/>
      </rPr>
      <t>İzabe Tesisi Listesi sekmesinde tedarik zincirine materyal katkısı sunan kalay izabe tesislerinin listesini sağlayın</t>
    </r>
  </si>
  <si>
    <r>
      <rPr>
        <sz val="11"/>
        <color indexed="8"/>
        <rFont val="Verdana"/>
        <family val="2"/>
      </rPr>
      <t>İzabe Tesisi Listesi sekmesinde tedarik zincirine materyal katkısı sunan altın izabe tesislerinin listesini sağlayın</t>
    </r>
  </si>
  <si>
    <r>
      <rPr>
        <sz val="11"/>
        <color indexed="8"/>
        <rFont val="Verdana"/>
        <family val="2"/>
      </rPr>
      <t>İzabe Tesisi Listesi sekmesinde tedarik zincirine materyal katkısı sunan tungsten izabe tesislerinin listesini sağlayın</t>
    </r>
  </si>
  <si>
    <r>
      <rPr>
        <sz val="11"/>
        <color indexed="8"/>
        <rFont val="Verdana"/>
        <family val="2"/>
      </rPr>
      <t>Lütfen Beyan sekmesindeki 1. ve 2. Soruları yanıtlayın</t>
    </r>
  </si>
  <si>
    <r>
      <rPr>
        <sz val="11"/>
        <color indexed="8"/>
        <rFont val="Verdana"/>
        <family val="2"/>
      </rPr>
      <t>Yalnızca 'Beyan' çalışma sayfasında bildirim düzeyi olarak "Ürün (veya Ürün Listesi)" seçili olduğunda doldurulması gerekmektedir.</t>
    </r>
  </si>
  <si>
    <r>
      <rPr>
        <sz val="11"/>
        <color indexed="8"/>
        <rFont val="Verdana"/>
        <family val="2"/>
      </rPr>
      <t>İmalatçının Ürün Numarası (*)</t>
    </r>
  </si>
  <si>
    <r>
      <rPr>
        <sz val="11"/>
        <color indexed="8"/>
        <rFont val="Verdana"/>
        <family val="2"/>
      </rPr>
      <t>İmalatçının Ürün Adı</t>
    </r>
  </si>
  <si>
    <r>
      <rPr>
        <sz val="11"/>
        <color indexed="8"/>
        <rFont val="Verdana"/>
        <family val="2"/>
      </rPr>
      <t>İrtibat kişisi için geçerli e-posta adresini buraya girin</t>
    </r>
  </si>
  <si>
    <r>
      <rPr>
        <sz val="11"/>
        <color indexed="8"/>
        <rFont val="Verdana"/>
        <family val="2"/>
      </rPr>
      <t>İzin yetkilisi için geçerli e-posta adresini buraya girin</t>
    </r>
  </si>
  <si>
    <r>
      <rPr>
        <sz val="11"/>
        <color indexed="8"/>
        <rFont val="Verdana"/>
        <family val="2"/>
      </rPr>
      <t>Lütfen şirketinizin bu formu doldurduğu tarihi not edin</t>
    </r>
    <r>
      <rPr>
        <sz val="11"/>
        <color indexed="8"/>
        <rFont val="Verdana"/>
        <family val="2"/>
      </rPr>
      <t xml:space="preserve">
Tarih, uluslararası biçimde, GG-AAA-YYYY şeklinde yazılmalıdır</t>
    </r>
    <r>
      <rPr>
        <sz val="11"/>
        <rFont val="Verdana"/>
        <family val="2"/>
      </rPr>
      <t xml:space="preserve">
</t>
    </r>
  </si>
  <si>
    <r>
      <rPr>
        <sz val="11"/>
        <color indexed="8"/>
        <rFont val="Verdana"/>
        <family val="2"/>
      </rPr>
      <t>Açılır menüden "Evet" veya "Hayır" yanıtını seçin</t>
    </r>
  </si>
  <si>
    <r>
      <rPr>
        <sz val="11"/>
        <color indexed="8"/>
        <rFont val="Verdana"/>
        <family val="2"/>
      </rPr>
      <t>Açılır menüden "Evet", "Hayır" veya "Bilinmiyor" yanıtını seçin</t>
    </r>
  </si>
  <si>
    <r>
      <rPr>
        <sz val="11"/>
        <color indexed="8"/>
        <rFont val="Verdana"/>
        <family val="2"/>
      </rPr>
      <t>Açılır menüden aşağıdaki yanıtlardan birini seçin:</t>
    </r>
    <r>
      <rPr>
        <sz val="11"/>
        <color indexed="8"/>
        <rFont val="Verdana"/>
        <family val="2"/>
      </rPr>
      <t xml:space="preserve"> </t>
    </r>
    <r>
      <rPr>
        <sz val="11"/>
        <color indexed="8"/>
        <rFont val="Verdana"/>
        <family val="2"/>
      </rPr>
      <t>“Evet, %100”; “Hayır, ancak %75'ten fazla”; “Hayır, ancak %50'den fazla”; “Hayır, ancak %25'ten fazla”; “Hayır, ancak %25'ten fazla” veya “Hayır, ancak %25'ten az” veya “Hiçbiri”</t>
    </r>
  </si>
  <si>
    <t>CFSI CMRT Team</t>
  </si>
  <si>
    <t>November 16th, 2015</t>
  </si>
  <si>
    <t>This version incorporates a few changes to the smelter list as reflected in the Standard Smelter List as of March 23, 2016.  The latest version of the Standard Smelter List is available at: http://www.conflictfreesourcing.org.</t>
  </si>
  <si>
    <t xml:space="preserve">1. Corrections to all bugs and errors
2. Enhancements which do not conflict with IPC-1755
a. Additions and clarifications in the instructions and definitions
b. Smelter List Tab: Re-introduction of “smelter not yet identified” 
c. Smelter List Tab: Inclusion of drop down menu for smelter ID that triggers auto-population of columns B to J 
3. Translation improvements and addition of Turkish language 
4. Updates to the Smelter Reference List and Standard Smelter List
a. Updated lists and corrections 
b. ASCII character set alignment
</t>
  </si>
  <si>
    <t>Argor-Heraeus S.A.</t>
  </si>
  <si>
    <t>Asahi Pretec Corp.</t>
  </si>
  <si>
    <t>Asahi Refining Canada Ltd.</t>
  </si>
  <si>
    <t>AU Traders and Refiners</t>
  </si>
  <si>
    <t>CID002850</t>
  </si>
  <si>
    <t>Johannesburg</t>
  </si>
  <si>
    <t>AURA-II</t>
  </si>
  <si>
    <t>CID002851</t>
  </si>
  <si>
    <t>Milwaukee</t>
  </si>
  <si>
    <t>Wisconsin</t>
  </si>
  <si>
    <t>Bangalore Refinery</t>
  </si>
  <si>
    <t>CID002863</t>
  </si>
  <si>
    <t>Cendres + M?taux SA</t>
  </si>
  <si>
    <t>Cendres + Métaux S.A.</t>
  </si>
  <si>
    <t>Namdong-gu</t>
  </si>
  <si>
    <t>Gujarat Gold Centre</t>
  </si>
  <si>
    <t>CID002852</t>
  </si>
  <si>
    <t>Ahmedabad</t>
  </si>
  <si>
    <t>Gujarat</t>
  </si>
  <si>
    <t>Inner Mongolia Qiankun Gold and Silver Refinery Share Co., Ltd.</t>
  </si>
  <si>
    <t>Jiangxi Copper Co., Ltd.</t>
  </si>
  <si>
    <t>Saganoseki Smelter &amp; Refinery</t>
  </si>
  <si>
    <t>Tamano Smelter</t>
  </si>
  <si>
    <t>Korea Zinc Co., Ltd.</t>
  </si>
  <si>
    <t>L'azurde Company For Jewelry</t>
  </si>
  <si>
    <t>Lingbao Gold Co., Ltd.</t>
  </si>
  <si>
    <t>Metalor Technologies S.A.</t>
  </si>
  <si>
    <t>Metal?rgica Met-Mex Pe?oles, S.A. de C.V</t>
  </si>
  <si>
    <t>Metalúrgica Met-Mex Peñoles S.A. De C.V.</t>
  </si>
  <si>
    <t>Met-Mex Pe?oles, S.A.</t>
  </si>
  <si>
    <t>Takehara Refinery</t>
  </si>
  <si>
    <t>Modeltech Sdn Bhd</t>
  </si>
  <si>
    <t>CID002857</t>
  </si>
  <si>
    <t>Onehunga</t>
  </si>
  <si>
    <t>PAMP S.A.</t>
  </si>
  <si>
    <t>PX Précinox S.A.</t>
  </si>
  <si>
    <t>Remondis Argentia B.V.</t>
  </si>
  <si>
    <t>CID002582</t>
  </si>
  <si>
    <t>SAFINA A.S.</t>
  </si>
  <si>
    <t>CID002290</t>
  </si>
  <si>
    <t>Vestec</t>
  </si>
  <si>
    <t>Sai Refinery</t>
  </si>
  <si>
    <t>CID002853</t>
  </si>
  <si>
    <t>Parwanoo</t>
  </si>
  <si>
    <t>Himachal Pradesh</t>
  </si>
  <si>
    <t>SEMPSA Joyería Platería S.A.</t>
  </si>
  <si>
    <t>Tanaka Electronics (Hong Kong) Pte. Ltd.</t>
  </si>
  <si>
    <t>Tanaka Electronics (Singapore) Pte. Ltd.</t>
  </si>
  <si>
    <t>Tanaka Kikinzoku Kogyo K.K</t>
  </si>
  <si>
    <t>TOO Tau-Ken-Altyn</t>
  </si>
  <si>
    <t>CID002615</t>
  </si>
  <si>
    <t>Astana</t>
  </si>
  <si>
    <t>Almaty</t>
  </si>
  <si>
    <t>Umicore S.A. Business Unit Precious Metals Refining</t>
  </si>
  <si>
    <t>Universal Precious Metals Refining Zambia</t>
  </si>
  <si>
    <t>CID002854</t>
  </si>
  <si>
    <t>Lusaka</t>
  </si>
  <si>
    <t>Valcambi S.A.</t>
  </si>
  <si>
    <t>H.C. Starck Smelting GmbH &amp; Co. KG</t>
  </si>
  <si>
    <t>CID002847</t>
  </si>
  <si>
    <t>An Thai Minerals Co., Ltd.</t>
  </si>
  <si>
    <t>Chenzhou Yunxiang Mining and Metallurgy Co., Ltd.</t>
  </si>
  <si>
    <t>Guang Xi Liu Zhou</t>
  </si>
  <si>
    <t>CooperMetal</t>
  </si>
  <si>
    <t>Elmet S.L.U.</t>
  </si>
  <si>
    <t>Gejiu Fengming Metallurgy Chemical Plant</t>
  </si>
  <si>
    <t>Gejiu Jinye Mineral Company</t>
  </si>
  <si>
    <t>CID002859</t>
  </si>
  <si>
    <t>YunNan Gejiu Yunxin Electrolyze Limited</t>
  </si>
  <si>
    <t>YUNXIN colored electrolysis Company Limited</t>
  </si>
  <si>
    <t>Shunda Huichang Kam Tin Co., Ltd.</t>
  </si>
  <si>
    <t>Melt Metais e Ligas S.A.</t>
  </si>
  <si>
    <t>Nongkham Sriracha</t>
  </si>
  <si>
    <t>CV JusTindo</t>
  </si>
  <si>
    <t>PT O.M. Indonesia</t>
  </si>
  <si>
    <t>CID002757</t>
  </si>
  <si>
    <t>INDONESIAN STATE TIN CORPORATION MENTOK SMELTER</t>
  </si>
  <si>
    <t>Yunnan Tin Company Limited</t>
  </si>
  <si>
    <t>Human Chun-Chang non-ferrous Smelting &amp; Concentrating Co., Ltd.</t>
  </si>
  <si>
    <t>Huanglong</t>
  </si>
  <si>
    <t>Philippine Chuangxin Industrial Co., Inc.</t>
  </si>
  <si>
    <t>CID002858</t>
  </si>
  <si>
    <t>TANAKA Electronics (Malaysia) SDN. BHD.</t>
  </si>
  <si>
    <t>Bangalore</t>
  </si>
  <si>
    <t>Karnataka</t>
  </si>
  <si>
    <t>Kawasan Perindustrian Bukit Rambai</t>
  </si>
  <si>
    <t>Melaka</t>
  </si>
  <si>
    <t>Moerdijk</t>
  </si>
  <si>
    <t>North Brabant</t>
  </si>
  <si>
    <t>Lusaka Province</t>
  </si>
  <si>
    <t>Skopje</t>
  </si>
  <si>
    <t>The Skopje Statistical Region</t>
  </si>
  <si>
    <t>Bekasi</t>
  </si>
  <si>
    <t>Belitung</t>
  </si>
  <si>
    <t>Sumping Desa Batu Peyu</t>
  </si>
  <si>
    <t>All rows with "Smelter not listed" selected, have a name and country listed</t>
  </si>
  <si>
    <t>N/A</t>
  </si>
  <si>
    <t>Please complete columns D &amp; E on Smelter List for all rows "Smelter Not Listed" selected in column C</t>
  </si>
  <si>
    <t>© 2016 Conflict-Free Sourcing Initiative. All rights reserved.</t>
  </si>
  <si>
    <t>© 2016 İhtilafsız Kaynak Edinme Girişimi. Tüm hakları saklıdır.</t>
  </si>
  <si>
    <t xml:space="preserve">此冲突矿产报告模板（模板）是由 Electronic Industry Citizenship Coalition（电子行业公民联盟）®(EICC®) 和 Global e-Sustainability Initiative （全球电子永续倡议，GeSI）创建的免费标准报告模板。该模板促进了通过关于矿产原产国、所使用的冶炼厂和精炼厂的供应链的信息传输，并且支持了法律的合规性*。该模板还促进辨识新的冶炼厂和精炼厂以通过无冲突冶炼厂计划对这些厂家进行潜在的审核**。
CMRT 允许下游企业披露与其供应链（截至但不包括冶炼厂）有关的信息。如果您是 3TG 冶炼厂或精炼厂，根据 CFSP 协议，我们建议您在冶炼厂目录选项卡中输入您的名称。
填好表格后，单元格条目不应以“=”或“#”开头。
</t>
  </si>
  <si>
    <t xml:space="preserve">この紛争鉱物報告テンプレート（テンプレート）は、Electronic Industry Citizenship Coalition®（EICC®）およびGlobal e-Sustainability Initiative（GeSI）が作成した、無料の標準報告テンプレートです。このテンプレートは鉱物の原産国と、使用される製錬・精製業者に関しサプライチェーンを通して情報を収集することを円滑にし、法律のコンプライアンスを支援します*。このテンプレートは、コンフリクトフリー製錬業者（CFS）プログラムの監査を受けることにつながる可能性のある、新たな製錬・精製業者の特定もサポートします**。
CMRTは、下流企業が（精錬業者までの）サプライチェーンに関する情報を開示するために、こうした企業向けに考案されたものです。3TG精錬業者または精製業者の場合は、CFSPプロトコルに従い精製業者リストタブに貴社名を記入することをお勧めします。
同書に記入する際、セルへの記入内容が「=」または「#」で始まることはできません。
</t>
  </si>
  <si>
    <t xml:space="preserve">본 분쟁광물보고 템플릿(템플릿)은 EICC®(Electronic Industry Citizenship Coalition®, 전자산업시민연대)와 GeSI(Global e-Sustainability Initiative, 글로벌 e-지속가능성 운동)가 만든 표준화된 무료 보고 템플릿입니다. 템플릿은 광물 원산국 및 사용하는 제련소 및 정제소와 관련된 공급망을 통해 정보의 빠른 전달을 촉진하고 법규 준수*에도 도움이 됩니다. 또한 템플릿은 분쟁없는 제련소 프로그램**을 통해 잠재적으로 감사를 받게 될 신규 제련소 및 정제소를 식별하는 데 편리함을 제공합니다.
CMRT는 다운스트림 회사가 제련소를 배제한 상태에서 최대한으로 회사의 공급망에 대한 정보를 공개하도록 설계되었습니다. 귀사가 CFSP 규약에 따라 3TG 제련소나 정제소에 해당하는 경우, 제련소 목록 탭에 귀사의 이름을 입력하길 권장합니다.
양식에 기입할 때, 어떤 셀에도 "=" 또는 "#"으로 시작하는 내용이 없어야 합니다. 
</t>
  </si>
  <si>
    <t xml:space="preserve">Ce modèle de rapport sur les minerais de conflit (le modèle) est un modèle de rapport standardisé gratuit créé par la Electronic Industry Citizenship Coalition® (EICC®) et la Global e-Sustainability Initiative (GeSI). Ce modèle facilite le transfert d’informations à travers la chaîne d’approvisionnement sur le pays d’origine du minerai et les fonderies et affineries utilisées, et soutient la conformité à la législation*. Ce modèle facilite également l’identification de nouvelles fonderies et affineries susceptibles de faire l’objet d’un audit via le programme des fonderies hors conflits (Conflict-Free Smelter Program)**.
Le CMRT a été conçu pour que les sociétés en aval divulguent des informations sur leurs chaînes d’approvisionnement jusqu’à la fonderie, sans toutefois inclure cette dernière. Si vous exploitez une fonderie ou une affinerie 3TG, conformément aux protocoles CFSP, nous vous recommandons de saisir votre propre nom à l’onglet de la liste des fonderies.
Lorsque vous remplirez le formulaire, veillez à ce qu’aucune des entrées dans les cellules ne commence par « = » ou « #. »
</t>
  </si>
  <si>
    <t xml:space="preserve">Este Modelo de relatório de minerais de conflito (Modelo) é um modelo gratuito e padronizado de relatório, criado pela Electronic Industry Citizenship Coalition® (EICC®) e pela Iniciativa Global de e-Sustentabilidade (Global e-Sustainability Initiative - GeSI). O Modelo facilita a transferência de informações ao longo da cadeia de suprimentos sobre o país de origem de minerais, as fundições e refinarias que são utilizadas e cumprem com a legislação*. Além disso, o Modelo facilita a identificação de novas fundições e refinarias para que possam passar por uma auditoria no âmbito do Programa de fundições livres de conflito (Conflict-Free Smelter Program, CFSP)**.
O CMRT foi desenvolvido para que empresas de extração divulguem informações sobre suas cadeias de suprimento, mas sem incluir a fundição.  Se você for uma fundição ou refinaria de minerais de conflito, de acordo com os protocolos do CFSP, recomendamos que insira seu nome na guia da lista de fundições.
Ao preencher o formulário, nenhuma das células deve ser iniciada com “=” ou “#”.
 </t>
  </si>
  <si>
    <t xml:space="preserve">Diese Vorlage für den Konfliktmineralien-Bericht (Vorlage) ist eine kostenlose, standardisierte Berichtsvorlage, die durch die Electronic Industry Citizenship Coalition® (EICC®) und die Global 
e-Sustainability Initiative (GeSI) erstellt wurde. Die Vorlage erleichtert die Übertragung von Informationen über die Versorgungskette in Bezug auf das Mineral, Ursprungsland und Schmelzöfen und Raffinerien, die verwendet werden, und unterstützt die Einhaltung der Gesetzgebung*. Die Vorlage vereinfacht die Feststellung von neuen Schmelzöfen und Raffinerien, die über das Programm für Konfliktfreie Schmelzöfen** möglicherweise einer Prüfung unterzogen werden.
Das CMRT wurde für nachgelagerte Unternehmen konzipiert, um Informationen über ihre Versorgungsketten bis hin zur (aber nicht einschließlich) Schmelzerei offenzulegen. Wenn Sie ein 3TG-Schmelzofen oder eine Raffinerie in Übereinstimmung mit den CFSP-Protokollen sind, empfehlen wir Ihnen, Ihren eigenen Namen ins Schmelzofenliste-Tab einzutragen.
Beim Ausfüllen des Formulars, sollte keine der Zeilen mit „=“ oder „#“ beginnen.
</t>
  </si>
  <si>
    <t xml:space="preserve">Esta plantilla de informe de minerales en conflicto (la Plantilla) es un formato de reporte estandarizado y gratuito creado por Electronic Industry Citizenship Coalition® (EICC®) y Global e-Sustainability Initiative (GeSI). La Plantilla facilita la transferencia de información a través de la cadena de suministro con respecto al país de origen del mineral y las fundidoras y refinerías que se utilizan y apoyen el cumplimiento con la legislación*. La plantilla también facilita la identificación de nuevas fundidoras y refinerías que se someterían potencialmente a una auditoría por medio del Conflict-Free Smelter Program (Programa de fundidoras libres de conflictos) **.
 El CMRT fue diseñado por empresas comercializadoras para revelar información sobre sus cadenas de suministro hacia arriba, pero sin incluir a la fundidora.   Si usted es una fundidora o refinadora de 3TG, de acuerdo con los protocolos de CFSP, le recomendamos que ingrese su propio nombre en la pestaña de la lista de fundidoras. 
Al llenar el formulario, ninguno de los datos de las celdas debe empezar con "=" o "#". 
</t>
  </si>
  <si>
    <t xml:space="preserve">Il presente Modello per la segnalazione dei materiali di conflitto (Conflict Minerals Reporting, CMRT), in seguito “Modello”, è un documento standard e gratuito creato da Electronic Industry Citizenship Coalition ® (EICC®) e da Global e-Sustainability Initiative (GeSI). Il Modello semplifica il trasferimento di informazioni della catena di fornitura relative al Paese d’origine del minerale e alle fonderie e raffinerie utilizzate, sostenendo la conformità alle normative*. Il Modello, inoltre, rende più semplice l’individuazione delle nuove fonderie e raffinerie potenzialmente soggette a verifica ai sensi del Conflict-Free Smelter Program**.
Il CMRT è stato concepito per guidare le aziende nella comunicazione delle informazioni relative alle proprie filiere, fino alla fase che precede la fonderia. Se la vostra azienda è una fonderia o raffineria di metalli di conflitto, in base ai protocolli CFSP, vi consigliamo di inserire il vostro nome nel foglio con l’elenco delle fonderie.
Nel compilare il Modulo, non inserire mai i caratteri “=” o “#” all’inizio del testo di qualsiasi cella.
</t>
  </si>
  <si>
    <t xml:space="preserve">Bu İhtilaf Konusu Madenler Raporlama Şablonu (Şablon) EElectronic Industry Citizenship Coalition® (EICC) ve Global e-Sürdürülebilirlik Girişimi (GeSI) tarafından geliştirilen ücretsiz, standardize bir raporlama şablonudur. Şablon, maden menşe ülkesi ve kullanılmakta olan izabe tesisleri ve rafinericilere ilişkin tedarik zinciri yoluyla bilginin transferini kolaylaştırır ve mevzuata* uyumu destekler. Şablon aynı zamanda İhtilafsız İzabe Tesisi Programı** kapsamında denetime tâbi olma olasılığı bulunan yeni izabe tesisleri ve rafinerilerin tanımlanmasını da kolaylaştırmaktadır**.
CMRT, izabe tesisini içermeyen satış şirketlerinin tedarik zincirleri hakkındaki bilgileri açıklamaları için satış şirketlerine yönelik olarak tasarlanmıştır.  CFSP protokolleri doğrultusunda bir 3TG izabe tesisi veya rafinerici iseniz, izabe tesisi listesi sekmesine kendi adınızı girmenizi öneriyoruz.
Form doldurulduğunda, hücre girişlerinin hiçbiri "=" veya "#" ile başlamamalıdır.
</t>
  </si>
  <si>
    <t xml:space="preserve">1. 这是两个问题中的第一个问题，其答复用来确定 3TG 是否在冲突矿产报告要求的范围内。此问题以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此问题询问是否有任何冲突矿物在贵公司生产或外包生产的产品中用作原材料、组件或添加物（包括原材料和组件）。原材料、组件、添加物、磨具和切削工具中的杂质不在此调查范围。
必须为每个 3TG 回答此问题。此问题的有效答复为“是”或“否”。此问题必须作答。
</t>
  </si>
  <si>
    <t xml:space="preserve">1. これは2つある質問の1つ目の質問であり、3TGが紛争鉱物報告要件の範囲内に当てはまるか否かを判定するために使用されます。この質問は、3TGが製品の「機能性にとって必要」か否かを判定する方法に関する最終規則においてSECが規定したガイダンスに基づくものです。SECガイダンスでは、その3TGが一般に予想される製品の機能、使用または目的に必要ではない場合には、製品のサプライチェーン内に存在する企業は3TGをその製品または製品の部品に意図的に付加しないという前提を、その根拠においています。この質問に対するこの回答は、鋼中のスズといった微量の汚染物質を排除する役割を果たします。
この質問では、貴社が製造するまたは委託して製造する製品（原材料および部品を含む）の原材料、部品、または添加物に紛争鉱物が使用されているのか否かをお伺いします。原材料、部品、添加物、研磨剤および切削工具からの不純物は本調査の範囲外です。
この質問には、3TGそれぞれについて回答するべきです。この質問には、「Yes（はい）」または「No（いいえ）」で回答してください。この質問への回答は必須です。
</t>
  </si>
  <si>
    <t xml:space="preserve">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귀사가 제조하거나 계약 제조한 제품(원료 및 구성요소 포함)에서 원료, 구성요소 또는 첨가제로서 어떤 분쟁 광물이 사용되는지를 묻습니다. 원료, 구성요소, 첨가제, 연마제, 절삭 공구에서 나온 불순물은 본 조사의 범위가 아닙니다. 
이 질문은 각 3TG에 대해 답해야 합니다. 이 질문에 대한 유효한 답변은 "Yes" 또는 "No"입니다. 이 질문은 필수 사항입니다. 
</t>
  </si>
  <si>
    <t xml:space="preserve">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composants si les 3TG n’étaient pas indispensables pour la fonction, l’usage ou l’objet généralement attendu du produit. La réponse à cette question sert à exclure la contamination en quantité infime, notamment dans le cas de l’étain dans l’acier. 
Cette question a pour but de déterminer si des minerais de conflit sont utilisés comme matière première, composant ou additif dans un produit que vous fabriquez ou dont vous sous-traitez la fabrication (y compris les matières premières et les composants). Les impuretés provenant de matières premières, composants, additifs, abrasifs et outils de coupe ne relèvent pas de l’étude : 
Vous devrez répondre à cette question pour chacun des 3TG. Les réponses valides à cette question sont « oui » ou « non ». Cette question est obligatoire.
</t>
  </si>
  <si>
    <t xml:space="preserve">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questiona se algum mineral de conflito é utilizado como matéria-prima, componente ou aditivo de um produto que você fabrique ou cuja fabricação você contrate (incluindo matérias-primas e componentes). Impurezas de matérias-primas, componentes, aditivos, abrasivos e ferramentas de corte estão fora do escopo da pesquisa: 
Esta pergunta deve ser respondida para cada mineral de conflito. Respostas válidas a esta pergunta são “Sim” ou “Não”. Esta pergunta é obrigatória.
</t>
  </si>
  <si>
    <t xml:space="preserve">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zielt darauf ab, ob irgendwelche Konfliktmaterialien als Rohmaterialien, Komponenten oder Zusatzstoffe in einem Produkt verwendet werden, das sie herstellen oder zu deren Herstellung Sie sich vertraglich verpflichten (einschließlich Rohmaterialien und Komponenten). Unreinheiten bei Rohmaterialien, Komponenten, Zusatzstoffen, Schleifmitteln und Schneidewerkzeugen liegen außerhalb des Umfangs der Umfrage: 
Diese Frage muss für jedes 3TG-Mineral beantwortet werden. Gültige Antworten auf diese Frage sind entweder „Ja“ oder „Nein“. Diese Frage muss beantwortet werden.
</t>
  </si>
  <si>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Este punto pregunta si se usa algún mineral en conflicto como materia prima, componente o aditivo en un producto que usted fabrique o cuya fabricación contrate (incluidas las materias primas y los componentes).  Las impurezas de las materias primas, componentes, aditivos, abrasivos y herramientas de corte están fuera del alcance de la encuesta:  
Se debe responder esta pregunta para cada 3TG. Las respuestas válidas para esta pregunta son "sí" o "no". Esta pregunta es obligatoria.
</t>
  </si>
  <si>
    <t xml:space="preserve">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In questa domanda si chiede se vi sono materiali di conflitto fra le materie prime, componenti o additivi di un prodotto realizzato direttamente dall’azienda o da aziende esterne (compresi materie prime e componenti). Non rientrano nell’ambito dell’indagine impurità delle materie prime, componenti, additivi, abrasivi e strumenti per il taglio: 
Questa domanda deve ottenere risposta per ciascun metallo di conflitto. Le risposte valide a questa domanda sono “sì” o “no”. Questa domanda è obbligatoria.
</t>
  </si>
  <si>
    <t xml:space="preserve">1. Bu, yanıtın 3TG'nin ihtilaf konusu maden raporlama gereksinimleri kapsamında olup olmadığını tespit etmek için kullanıldığı iki sorunun birincisidir. Bu soru, bir 3TG bir ürüne ait “işlevsellik için gerekliyse” tespite ilişkin son kurallarda SEC tarafından sağlanan rehberliğe dayanır. SEC rehberliği, 3TG'nin ürünün genel olarak beklenen işlevi, kullanımı veya amacı için gerekli olmaması halinde, bir ürün için tedarik zincirindeki bir şirketin kasıtlı olarak söz konusu ürüne veya bir ürünün alt bileşenlerine bir 3TG eklemeyeceğine dair varsayıma dayanır. Bu soruya yönelik bu yanıt, çelikteki kalay gibi eser düzeydeki kirleticileri kapsam dışı bırakmaya yarar. 
Bu soru, herhangi bir ihtilaf konusu madenin hammadde, bileşen veya ürettiğiniz veya fason ürettirdiğiniz (hammadde ve bileşenler dâhil) bir ürüne katkı olarak kullanılıp kullanılmadığını sorar. Hammaddeler, bileşenler, katkılar, aşındırıcılar ve kesme araçlarından kaynaklanan safsızlıklar bu anketin kapsamı dışındadır: 
Bu soru, her bir 3TG için yanıtlanacaktır. Bu soruya yönelik yanıtlar “evet” veya “hayır”dır. Bu soru zorunludur.
</t>
  </si>
  <si>
    <t xml:space="preserve">2. 这是两个问题中的第二个问题，其答复用来确定 3TG 是否在 SEC 关于确定 3TG 是否对产品的“生产有必要”的最终规则中所述的冲突矿产报告要求的范围内。此问题与问题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</si>
  <si>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れは2つある質問の2つ目の質問であり、3TGが製品の「生産にとって必要」か否かを判定する方法に関するSECの最終規則で規定されている紛争鉱物報告要件の範囲内に3TGが当てはまるか否かを判定するために使用されます。この質問は、質問1の質問や回答とは別個のものです。この質問は、製品の製造過程において意図的に使用された3TGを特定すること、および完成品のどこに、ある程度の3TGが残留するかを特定するためのものです。この3TGは本来完成品の一部を成すはずではなく、製品の「機能性にとって必要」な可能性は低いものの、製造過程の残留物として存在するに過ぎない可能性が高いと言えます。多くの場合、メーカーは製造過程中に3TGの削除または消耗を促進しようと努めますが、ある程度の3TGが残留します。製造過程中に使用される3TGがその過程中に完全に削除される場合、この質問に対する回答は「No（いいえ）」です。
一つ一つの3TGについて、この質問にお答えください。「Yes（はい）」または「No（いいえ）」で必ず回答してください。この質問への回答は必須です。
</t>
  </si>
  <si>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제거되는 경우, 이 질문에 대한 답변은 “No”입니다.
이 질문은 3TG 각각에 대해 대답해야 합니다. 이 질문에 대한 유효한 답변은 "Yes" 또는 "No"입니다. 이 질문은 필수 사항입니다. 
</t>
  </si>
  <si>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ou faciliter la consommation de 3TG lors du processus de fabrication, mais une certaine quantité de 3TG demeure. Si les 3TG, qui sont utilisés pendant le processus de fabrication, venaient à être entièrement supprimés de ce processus, la réponse à cette question serait « non ».
Il convient de répondre à cette question pour chaque 3TG. Les réponses valides à cette question sont « oui » ou « non ». Cette question est obligatoire. 
</t>
  </si>
  <si>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intencionava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conflito durante o processo de fabricação; no entanto, certa quantidade do mineral de conflito ainda permanece.  Caso o mineral de conflito utilizado durante o processo de fabricação seja completamente removido durante esse processo, a resposta a esta pergunta seria “Não”.
Esta pergunta deve ser respondida para cada mineral de conflito. Respostas válidas a esta pergunta são “Sim” ou “Não”. Esta pergunta é obrigatória. 
</t>
  </si>
  <si>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 beantwortet werden. Gültige Antworten auf diese Frage sind entweder „Ja“ oder „Nein“. Diese Frage muss beantwortet werden. 
</t>
  </si>
  <si>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</si>
  <si>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La risposta a questa domanda deve essere fornita per ogni metallo di conflitto. Le risposte valide a questa domanda sono “sì” o “no”. Questa domanda è obbligatoria. 
</t>
  </si>
  <si>
    <t xml:space="preserve">2. Bu, bir ürünün “üretimi için bir 3TG'nin gerekli olup olmadığını” tespit edilmesine ilişkin SEC nihai kurallarında açıklanan şekilde, yanıtın 3TG'nin ihtilaf konusu maden raporlama gereksinimleri kapsamında olup olmadığını tespit etmek için kullanıldığı iki sorunun ikincisidir.  Bu soru, sorudan ve 1. soruya verilen yanıttan ayrı ve bağımsızdır.  Bu sorgu, bir ürünün üretim sürecinde bilerek kullanlan 3TG'leri ve bitmemiş üründe 3TG miktarının bulunduğunu belirlemeyi tasarlamaktadır.  Bu 3TG'lerin son ürünün bir parçası olması amaçlanmamakta ya da bunların “ürünün işlevselliği için gerekli” olduğu düşünülmemekte ancak bunlar imalat sürecinin kalıntıları olarak üründe mevcut bulunmaktadır.  Pek çok durumda, üretici üretim süreci esnasında 3TG'nin tüketimini sona erdirmeye veya kolaylaştırmaya çalışmış olabilir, ancak bir kısım 3TG kalır.  Üretim süreci esnasında kullanılan 3TG'nin söz konusu süreçte tamamen kaldırılması halinde, bu sorunun yanıtı “hayır” olmalıdır.
Bu soru, her bir 3TG için yanıtlanacaktır. Bu soruya yönelik geçerli yanıtlar “evet” veya “hayır”dır. Bu soru zorunludur. 
</t>
  </si>
  <si>
    <t xml:space="preserve">13. 矿场名称-此字段可让公司为冶炼厂正在使用的实际矿场取名。如果已知实际矿场的名称，请输入该名称。如果冶炼厂的所有原料均来自回收料或报废料资源，则输入“回收料”或“报废料”以取代矿场名称，并在 P 列回答“是”。
“根据 CFSI 确认 RCOI”可能是该问题的一个可以接受的回答。
</t>
  </si>
  <si>
    <t xml:space="preserve">13. 鉱山名－この欄で企業は、精錬業者が使用している実際の鉱山を記載できます。判明している場合は実際の鉱山名を記入してください。精錬業者が原料の100%をリサイクル業者またはスクラップサプライヤーから調達している場合は、鉱山名の代わりに「Recycled（リサイクル業者）」または「Scrap（スクラップサプライヤー）」と記入し、P列に「Yes（はい）」と回答してください。
この質問では「RCOI confirmed as per CFSI（CFSIにより確認されたRCOI）」と回答することもできます。
</t>
  </si>
  <si>
    <t xml:space="preserve">13. 광산 이름 - 회사가 제련소에서 실제로 사용하는 광산을 이 열에 기입할 수 있습니다. 이름을 아는 경우 실제 광산의 이름을 기입하시오. 제련소 원료의 100%가 재활용 또는 폐자원에서 왔다면, 광산의 이름에 "Recycled" 또는 "Scrap"을 입력하고, P열에 "Yes"로 답하시오.
"CFSI에 따라 확인된 RCOI"는 이 질문의 대답으로 인정될 수 있습니다. 
</t>
  </si>
  <si>
    <t xml:space="preserve">13. Nom de la/des mine(s) – Ce champ permet à la société de définir les mines effectivement exploitées par la fonderie. Veuillez saisir les noms des mines si vous les connaissez. Si 100 % de la matière de base de la fonderie provient de sources recyclées ou de débris, saisissez « Recyclé » ou « Débris » à la place du nom de la mine et répondez « Oui » à la colonne P.
« Enquête à travers la chaîne d’approvisionnement (RCOI) confirmée conformément à la CFSI » peut constituer une réponse acceptable à cette question.
</t>
  </si>
  <si>
    <t xml:space="preserve">13. Nome da(s) mina(s) – este campo permite que uma empresa defina as minas de fato utilizadas pela fundição.  Insira os nomes reais das minas, caso sejam do seu conhecimento.  Se 100% das matérias-primas da fundição forem provenientes de fontes recicladas ou sucata, insira “Reciclada” ou “Sucata” no local do nome da mina e responda “Sim” na coluna P.
“RCOI confirmado segundo a CFSI” pode ser uma resposta aceitável para esta pergunta.
</t>
  </si>
  <si>
    <t xml:space="preserve">13. Name der Mine(n) – Dieses Feld ermöglicht es einem Unternehmen, die aktuellen Minen zu bestimmen, die durch die Schmelzöfen verwendet werden. Bitte geben Sie, falls bekannt, die Namen der aktuellen Minen an. Falls 100 % des Rohmaterials der Schmelzöfen aus wiederverwerteten oder Ausschussressourcen resultiert, tragen Sie anstelle des Namens der Mine „wiederverwertet“ oder „Ausschuss“ ein und geben Sie in Spalte P die Antwort „Ja“.
„RCOI-bestätigt gemäß CFSI“ kann eine akzeptable Antwort auf die Frage sein.
</t>
  </si>
  <si>
    <t xml:space="preserve">13. Nombre de la(s) mina(s) - Este campo permite que una compañía defina las minas que realmente está usando la fundidora.   Introduzca los nombres reales de las minas si los conoce.   Si el 100% de las materias primas de la fundidora provienen de fuentes recicladas o de sobrantes, ingrese "Recycled" (Reciclado) o "Scrap" (Sobrantes) en lugar del nombre de la mina y responda "Yes" (Sí) en la columna P.
 "RCOI confirmed as per CFSI" (RCOI confirmado por CFSI) puede ser una respuesta aceptable a esta pregunta. 
</t>
  </si>
  <si>
    <t xml:space="preserve">13. Nome della/e miniera/e - Questo campo consente all’azienda di definire le miniere effettivamente utilizzate dalla fonderia. Se noti, inserire i nomi effettivi delle miniere. Se il 100% dei materiali utilizzati dalla fonderia deriva da attività di riciclaggio o materie di scarto, inserire “Riciclato” o “Scarto” al posto del nome della miniera e rispondere “Sì” nella colonna P.
“Conferma RCOI come da CFSI” costituisce una risposta accettabile a questa domanda.
</t>
  </si>
  <si>
    <t xml:space="preserve">13. Maden(ler)in Adı - Bu alan, şirketin izabe tesisi tarafından kullanılan gerçek madenleri sıralayabilmesi içindir.  Biliyorsanız, lütfen madenlerin gerçek adını girin.  İzabe tesisinin hammaddelerinin %100'ü geri dönüşüm veya hurda kaynaklarından geliyorsa, maden adı yerine "Geri Dönüştürülmüş" veya "Hurda" yazın ve P Sütununa "Evet" cevabı verin.
”CFSI uyarınca onaylanan RCOI” bu soruya kabul edilebilir bir yanıt olabilir.
</t>
  </si>
  <si>
    <t xml:space="preserve">14. 矿场地点（国家）-这是可自由输入文字的字段，可让公司注明冶炼厂正在使用的矿场地点。请输入矿场所在国家。如果原产国未知，则输入“不知道”。如果冶炼厂的所有原料均来自回收料或报废料资源，则输入“回收料”或“报废料”以取代原产国。此字段自由选择填写。
“根据 CFSI 确认 RCOI”可能是该问题的一个可以接受的回答。
</t>
  </si>
  <si>
    <t xml:space="preserve">14. 鉱山の場所（国名）－自由形式のテキスト欄で、企業は精錬業者が使用している鉱山の場所を記載できます。鉱山が所在する国名を記入してください。原産国が不明の場合は「Unknown（不明）」とお答えください。精錬業者が原料の100%をリサイクル業者またはスクラップサプライヤーから調達している場合は、原産国の代わりに「Recycled（リサイクル業者）」または「Scrap（スクラップサプライヤー）」と記入してください。この欄は任意です。
この質問では「RCOI confirmed as per CFSI（CFSIにより確認されたRCOI）」と回答することもできます。
</t>
  </si>
  <si>
    <t xml:space="preserve">14. 광산(국가)의 위치 - 회사가 제련소에서 실제로 사용하는 광산을 기입할 수 있는 자유 형식의 문자열입니다. 광산이 위치한 국가를 기입하십시오. 원산국의 이름을 모르면 "Unknown"을 기입하십시오. 제련소 원료의 100%가 재활용 또는 폐자원에서 왔다면, 원산국에 "Recycled" 또는 "Scrap"을 기입하십시오. 이 영역은 선택사항입니다.
"CFSI에 따라 확인된 RCOI"는 이 질문의 대답으로 인정될 수 있습니다. 
</t>
  </si>
  <si>
    <t xml:space="preserve">14. Emplacement (pays) de la/des mine(s) – Ce champ de texte libre permet à une société de définir l’emplacement des mines exploitées par la fonderie. Veuillez saisir le pays de la/des mine(s). Si vous ne connaissez pas le pays d’origine, saisissez « Inconnu ». Si 100 % de la matière de base de la fonderie provient de sources recyclées ou de débris, saisissez « Recyclé » ou « Débris » à la place du pays d’origine. Ce champ est facultatif.
« Enquête à travers la chaîne d’approvisionnement (RCOI) confirmée conformément à la CFSI » peut constituer une réponse acceptable à cette question.
</t>
  </si>
  <si>
    <t xml:space="preserve">14. Localização (país) da(s) mina(s) – este é um campo de texto de livre preenchimento e permite que a empresa defina a localização das minas utilizadas pela fundição.   Insira o país da(s) mina(s).  Se o país de origem não for conhecido, insira “Desconhecido”.   Se 100% das matérias-primas forem provenientes de fontes recicladas ou sucata, insira “Reciclado” ou “Sucata” no local do país de origem.  Este campo é opcional.
“RCOI confirmado segundo a CFSI” pode ser uma resposta aceitável para esta pergunta.
</t>
  </si>
  <si>
    <t xml:space="preserve">14. Standort (Land) der Mine(n) – Dies ist ein Textfeld mit freier Texteingabe, das es einem Unternehmen ermöglicht, den Standort der Minen zu definieren, die durch die Schmelzöfen verwendet werden.  Bitte geben Sie das Land der Mine(n) ein. Falls das Ursprungsland nicht bekannt ist, geben Sie „Unbekannt“ ein.  Falls 100 % des Rohmaterials der Schmelzöfen aus wiederverwerteten oder Ausschussressourcen resultiert, tragen Sie anstelle des Ursprungslandes „wiederverwertet“ oder „Ausschuss“ ein. Dieses Feld ist optional.
„RCOI-bestätigt gemäß CFSI“ kann eine akzeptable Antwort auf die Frage sein.
</t>
  </si>
  <si>
    <t xml:space="preserve">14. Ubicación (país) de la(s) mina(s) - Este es un campo de texto de formato libre que permite que una empresa defina la ubicación de las minas que está utilizando la fundidora.    Introduzca el país donde está(n) la(s) mina(s).   Si se desconoce el país de origen, introduzca "Unknown" (Desconocido).    Si el 100% de las materias primas de la fundidora provienen de fuentes recicladas o de sobrantes, ingrese "Recycled" (Reciclado) o "Scrap" (Sobrantes) en lugar del país de origen.   Este campo es opcional.
 "RCOI confirmed as per CFSI" (RCOI confirmado por CFSI) puede ser una respuesta aceptable a esta pregunta. 
</t>
  </si>
  <si>
    <t xml:space="preserve">14. Luogo (Paese) della/e miniera/e - Questo è un campo di testo libero che consente all’azienda di specificare il luogo in cui si trovano le miniere utilizzate dalla fonderia. Inserire il Paese in cui si trova/no la/e miniera/e. Se il Paese di origine non è noto, inserire il termine “Sconosciuto”. Se il 100% dei materiali utilizzati dalla fonderia deriva da attività di riciclaggio o materie di scarto, inserire “Riciclato” o “Scarto” al posto del Paese di origine. Questo campo è facoltativo.
“Conferma RCOI come da CFSI” costituisce una risposta accettabile a questa domanda.
</t>
  </si>
  <si>
    <t xml:space="preserve">14. Maden(ler)in Konumu (Ülkesi) - Bu, bir şirketin, izabe tesisi tarafından kullanılan madenlerin konumunu tanımlayabilmesini sağlayan serbest metin girişine uygun bir alandır.   Lütfen maden(ler)in ülkesini girin.  Menşei ülke bilinmiyorsa, bu alana "Bilinmiyor" yazın.   İzabe tesisinin hammaddelerinin %100'ü geri dönüşüm veya hurda kaynaklarından geliyorsa, menşei ülke yerine "Geri Dönüştürülmüş" veya "Hurda" yazın.  Bu alan isteğe bağlıdır.
”CFSI uyarınca onaylanan RCOI” bu soruya yönelik kabul edilebilir bir yanıt olabilir.
</t>
  </si>
  <si>
    <t>3) 贵公司供应链中的任何冶炼厂是否从所指明的国家采购 3TG？ （SEC 术语，参见定义选项卡）</t>
  </si>
  <si>
    <t>3）御社サプライチェーン内の製錬業者のいずれかが、対象国を3TGの原産地としていますか？（SEC用語。定義タブを参照）</t>
  </si>
  <si>
    <t>3) 귀사 공급망의 제련소가 해당국가로부터 3TG를 공급받고 있습니까? (SEC 용어, 용어정의 탭 참조)</t>
  </si>
  <si>
    <t>3) Est-ce qu’une des fonderies de votre chaîne d’approvisionnement s’approvisionne en 3TG à partir des pays couverts ? (terme SEC, consulter l’onglet des définitions)</t>
  </si>
  <si>
    <t>3) Alguma das fundições da sua cadeia de suprimentos fornece minerais de conflito provenientes dos países abrangidos? (termo da SEC; consulte a guia de definições)</t>
  </si>
  <si>
    <t>3) Beschaffen Schmelzöfen in Ihrer Lieferkette das 3TG-Mineral aus den umfassten Ländern? (SEC-Begriff, siehe Definitions-Tab)</t>
  </si>
  <si>
    <t>3) ¿Alguna de las fundidoras de la cadena de suministro provee el 3TG de los países cubiertos?  (para el término SEC, véase la pestaña de definiciones)</t>
  </si>
  <si>
    <t>3) Vi sono fonderie nella vostra catena di fornitura che ottengono metalli di conflitto da paesi coinvolti? (Termine SEC, vedere il foglio delle definizioni)</t>
  </si>
  <si>
    <t xml:space="preserve">3) Tedarik zincirinizdeki izabe tesislerinden herhangi biri 3TG'yi kapsam dahilindeki ülkelerden ediniyor mu? (SEC terimi, tanımlar sekmesine bakın) </t>
  </si>
  <si>
    <t>Smelter ListA4</t>
  </si>
  <si>
    <t>InstructionsA52</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</si>
  <si>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asks if any conflict minerals are used as raw material, component or additive in a product that you manufacture or contract to manufacture (including raw material and components). Impurities from raw materials, components, additives, abrasives, and cutting tools are outside the scope of the survey.
This question shall be answered for each 3TG. Valid responses to this question are either "yes" or "no". This question is mandatory.</t>
  </si>
  <si>
    <t>5)御社は全ての関連サプライヤーから、各3TGに関するデータ／情報を受け取っていますか？</t>
  </si>
  <si>
    <t>Power Resources Ltd.</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</si>
  <si>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</si>
  <si>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CFSI website: (www.conflictfreesourcing.org)
Training and guidance, template, Conflict-Free Smelter Program compliant smelter list.</t>
  </si>
  <si>
    <t>C. Please answer “Yes” or “No”.  Provide any comments if necessary.  See Definitions worksheet for definition of "DRC conflict-free".</t>
  </si>
  <si>
    <t xml:space="preserve">Note:  Entries with (*) are mandatory fields. </t>
  </si>
  <si>
    <t>z</t>
  </si>
  <si>
    <t>Ōita</t>
  </si>
  <si>
    <t>2. Metal (*)   -   Use the pull down menu to select the metal for which you are entering smelter information.  This field is mandatory.</t>
  </si>
  <si>
    <t>4. Smelter Name (*)- Fill in smelter name if you selected "Smelter Not Listed" in column C.  This field will auto-populate when a smelter name in selected in Column C.  This field is mandatory.</t>
  </si>
  <si>
    <t>5. Smelter Country (*) – This field will auto-populate when a smelter name is selected in column C. If you selected "Smelter Not Listed" in column C, use the pull down menu to select the country location of the smelter.  This field is mandatory.</t>
  </si>
  <si>
    <t>6.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</si>
  <si>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 xml:space="preserve">7. Source of Smelter Identification Number - This is the source of the Smelter Identification Number entered in Column F.  If a smelter name was selected in Column C using the dropdown box, this field will auto-populate. </t>
  </si>
  <si>
    <t>8. Smelter Street -  Provide the street name on which the smelter is located. This field is optional.</t>
  </si>
  <si>
    <t>9. Smelter City – Provide the city name of where the smelter is located. This field is optional.</t>
  </si>
  <si>
    <t>10.. Smelter Location: State/Province, if applicable – Provide the state or province where the smelter is located. This field is optional.</t>
  </si>
  <si>
    <t>11.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</si>
  <si>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12. Smelter Contact Email – Fill in the email address of the Smelter Facility contact person who was identified as the Smelter Contact Name.  Example: John.Smith@SmelterXXX.com.  Please review the instructions for Smelter Contact Name before completing this field.</t>
  </si>
  <si>
    <t>17. 注释 - 用自由的格式的文字栏来输入任何有关冶炼厂的意见。例如：冶炼厂正在被YYY公司收购</t>
  </si>
  <si>
    <r>
      <t>21. 金属（</t>
    </r>
    <r>
      <rPr>
        <vertAlign val="superscript"/>
        <sz val="11"/>
        <rFont val="Calibri"/>
        <family val="2"/>
      </rPr>
      <t>*</t>
    </r>
    <r>
      <rPr>
        <sz val="11"/>
        <rFont val="Calibri"/>
        <family val="2"/>
      </rPr>
      <t xml:space="preserve">）- 在下拉菜单中选择正在录入信息的冶炼厂所提炼的金属。 </t>
    </r>
  </si>
  <si>
    <t>2. 金属(*) － ドロップダウンメニューを使用して、製錬業者情報を入力する該当金属を選択してください。この欄は必須です。</t>
  </si>
  <si>
    <t>2. 금속(*) - 드랍다운 메뉴를 이용하여 제련소 정보를 입력하려는 금속을 선택하시오.  이 필드는 필수입니다.</t>
  </si>
  <si>
    <t>2. Métal (*) – Utiliser la liste déroulante pour sélectionner le métal pour lequel vous entrez l’information. Ce champ est obligatoire.</t>
  </si>
  <si>
    <t>2. Metal (*) - Utilize a lista do menu para selecionar o metal para o qual está a inserir a informação sobre a fundição. 
Este campo é obrigatório</t>
  </si>
  <si>
    <t>2.  Metall ( * ) - Verwenden Sie das Pull-down-Menü, um das Metall auszuwählen,  für welches Sie Informationen über den Schmelzer eingeben. Dies ist ein Pflichteingabefeld.</t>
  </si>
  <si>
    <r>
      <t>2.- Metal (*)   -   Use el menú de opciones para seleccionar el metal para el cual estas capturando la i</t>
    </r>
    <r>
      <rPr>
        <sz val="11"/>
        <rFont val="Calibri"/>
        <family val="2"/>
      </rPr>
      <t>nformación del fundidor. Este campo es obligatorio.</t>
    </r>
  </si>
  <si>
    <t>2. Metallo (*) - Usare il menu a tendina per selezionare il metallo per il quale state inserendo l'informazione sulle fonderie. Questo campo è obbligatorio</t>
  </si>
  <si>
    <t>2. Metal (*) - İzabe tesisi bilgilerini girdiğiniz metali seçmek için açılır menüyü kullanın. Bu alanın doldurulması zorunludur.</t>
  </si>
  <si>
    <t>4. İzabe Tesisi Adı (*) - C Sütununda "İzabe Tesisi Listelenmemiş" öğesini seçtiyseniz, bir izabe tesisi adı girin. Bu alan, C Sütununda bir izabe tesisi adı seçildiğinde otomatik olarak doldurulacaktır. Bu alanın doldurulması zorunludur.</t>
  </si>
  <si>
    <t>4. Nome della fonderia (*) -  Inserire il nome della fonderia se avete selezionato " fonderia non presente" nella colonna C. Questo campo verrà popolato automaticamente quando verrà inserito il nome dell fonderia nella colonna C.  Questo campo è obbligatorio.</t>
  </si>
  <si>
    <t>4. Nombre del fundidor (*)- Proporcione el nombre del fundidor si seleccionaste " Fundidor no listado" en la columna C. Este campo se llenara automáticamente cuando un nombre de fundidor es seleccionado en la columna C. Este campo es obligatorio.</t>
  </si>
  <si>
    <r>
      <t>4.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</si>
  <si>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t>4. 製錬業者名(*)　－　C列で「Smelter Not Listed（製錬業者が表に含まれていない）」を選択した場合、製錬業者名を記入してください。C列で製錬業者名を選択した場合には、この欄は自動入力されます。この欄は必須です。</t>
  </si>
  <si>
    <t>4. 표준 제련소 이름 (*) - 'C'열에 '나열되지 제련소'를 선택한 경우, 제련소 이름을 기입하시오.  'C'열에 제련소 이름을 선택한 경우에는 이필드가 자동으로 채워집니다.  이 필드는 필수입니다.</t>
  </si>
  <si>
    <t>4. Nom de la fonderie (*) - Saisissez le nom de la fonderie si vous avez sélectionné 'fonderie non répertoriée' dans la colonne C. Ce champ est automatiquement renseigné lorsqu'un nom de fonderie est sélectionné dans la colonne C. Ce champ est obligatoire.</t>
  </si>
  <si>
    <t>4. Nome da Fundição (*) - Preencher o nome da fundição se selecionou "Fundição não listada" na coluna C. Este campo irá replicar-se automaticamente quando o nome de uma fundição for selecionado na coluna C. Este campo é obrigatório.</t>
  </si>
  <si>
    <t>4. Schmelzer Name ( * ) - Füllen Sie den Namen des Schmelzers in Spalte C ein, wenn Sie  "Schmelzer nicht aufgelistet" ausgewählt haben.  Dieses Feld wird automatisch ausgefüllt, wenn ein Schmelzer in Spalte C ausgewählt wurde. Dies ist ein Pflichteingabefeld.</t>
  </si>
  <si>
    <r>
      <rPr>
        <sz val="11"/>
        <rFont val="Calibri"/>
        <family val="2"/>
      </rPr>
      <t>5.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</si>
  <si>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t>5.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</si>
  <si>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제련소 국가 (*) - 'C'열에 제련소 이름을 선택한 경우에는 이필드가 자동으로 채워집니다.  'C'열에 '나열되지 제련소'를 선택한 경우,  제련소 국가 위치를 풀다운 메뉴에서 선택하십시오.  이 필드는 필수입니다.</t>
  </si>
  <si>
    <t>5.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</si>
  <si>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País da Fundição (*) - Este campo irá replicar-se automaticamente quando o nome de uma fundição for selecionada na coluna C. Se selecionar "Fundição não listada" na coluna C, use a lista do menu para selecionar o país de origem da fundição. Este campo é obrigatório.</t>
  </si>
  <si>
    <t>5.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</si>
  <si>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País del fundidor (*)- Este campo se llenara automáticamente cuando el nombre del fundidor sea seleccionado en la columna C. Si usted selecciona " Fundidor no listado" en columna C, use el menú de opciones para seleccionar el país del proveedor. Este campo es mandatorio.</t>
  </si>
  <si>
    <t xml:space="preserve">5.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</si>
  <si>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İzabe Tesisi Ülkesi (*) â Bu alan, C Sütununda bir izabe tesisi adı seçildiğinde otomatik olarak doldurulacaktır. C Sütununda "İzabe Tesisi Listelenmemiş" öğesini seçtiyseniz, izabe tesisinin bulunduğu ülkeyi seçmek için açılır menüyü kullanın. Bu alanın doldurulması zorunludur.</t>
  </si>
  <si>
    <t xml:space="preserve">6. 冶炼厂识别 - 依据冶炼厂和精炼厂识别系统每一冶炼厂或精炼厂均有一独一无二的标识。 相信会有一间冶炼厂或一间精炼厂存在多个名称的情况出现。 因此，唯一的冶炼厂标识能将其它名称和别名进行统一。 </t>
  </si>
  <si>
    <t>6.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</si>
  <si>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6.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</si>
  <si>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</si>
  <si>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</si>
  <si>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</si>
  <si>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</si>
  <si>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</si>
  <si>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İzabe Tesisi Tanımlaması - Bu, mevcut izabe tesisi ve rafineri tanımlama sistemine göre bir izabe tesisi ya da rafineriye atanan benzersiz bir tanımlayıcıdır. Tek bir izabe tesisi veya rafinerinin tanımlanması için birden fazla ad ya da rumuz kullanılabilmekte, bu nedenle birden fazla ad ya da rumuz tek bir ‘İzabe Tesisi Kimliği’ ile ilişkilendirilebilmektedir.</t>
  </si>
  <si>
    <t xml:space="preserve">7. 冶炼厂识别号码 - F列包括所有的冶炼厂识别号码。 如果在C列中选出冶炼厂名称，此栏会自动填入。 </t>
  </si>
  <si>
    <t>7.製錬業者識別番号の発行元　－　これはF列に入力された製錬業者識別番号の発行元です。ドロップダウンボックスを使ってC列に製錬業者名を選択すると、この欄は自動入力されます。</t>
  </si>
  <si>
    <t>7. 제련소 식별 번호의 출처 - 이것은 F열에 들어간 제련소 식별 번호의 출처입니다. 제련소 이름이 드랍다운 박스를 사용하여 Column C에서 선택되면, 이 열은 자동으로 덧붙여 집니다.</t>
  </si>
  <si>
    <t>7. Type de l'identifiant de la fonderie - C'est la source du numéro d'identification de la fonderie identifiée dans la colonne F. Si un nom de fonderie a été sélectionné dans la colonne C en utilisant la liste déroulante, ce champ est automatiquement renseigné.</t>
  </si>
  <si>
    <t>7. Número de Identificação da fonte da Fundição - Este é o número de Identificação da fonte da Fundição preenchido na coluna F. Se o nome de uma fundição for selecionada na coluna C usando a lista do menu, este campo irá replicar-se automaticamente.</t>
  </si>
  <si>
    <t>7. Quelle der Schmelzer Identifikationsnummer - das ist die Quelle des Schmelzers, welche  in der Spalte F eingegeben wurde. Wenn ein Schmelzofen aus der Drop-down Box in Spalte C ausgewählt wurde, dann wird dieses Feld automatisch aufgefüllt werden.</t>
  </si>
  <si>
    <t>7. Fuente del numero de identificación del fundidor - esta es la fuente del numero de identificación del fundidor capturado en el columna F. Si un nombre del fundidor fue seleccionado en la columna C usando el menú de opciones, este campo se llenara automáticamente.</t>
  </si>
  <si>
    <t>7.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</si>
  <si>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İzabe Tesisi Tanımlama Numarası Kaynağı - Bu, F Sütununa girilen İzabe Tesisi Tanımlama Numarasının kaynağını ifade eder. Bu alan, C Sütununda açılır kutu ile bir izabe tesisi adı seçildiğinde otomatik olarak doldurulacaktır. </t>
  </si>
  <si>
    <t>8.  製錬業者所在地：番地　－　製錬所の所在する番地を記入してください。この欄は任意記入欄です。</t>
  </si>
  <si>
    <t>8. 제련소 주소 - 제련소가 위치하고 있는 주소를 기입하십시오. 이 필드는 선택사항입니다.</t>
  </si>
  <si>
    <t>8. Rue de la fonderie – indique le nom de la rue où est située la fonderie. Ce champ est facultatif.</t>
  </si>
  <si>
    <t>8. Endereço da fundição – Forneça o nome da rua em que se localiza a fundição. Este campo é opcional.</t>
  </si>
  <si>
    <t>8. Straße des Schmelzofens – Geben Sie den Straßennamen des Schmelzofenstandortes an. Das Ausfüllen dieses Feldes ist freiwillig.</t>
  </si>
  <si>
    <t xml:space="preserve">8. Calle del fundidor: informe el nombre de la calle en la que se encuentra ubicado el fundidor.  El campo es opcional. </t>
  </si>
  <si>
    <t>8. Sedi delle Fonderie: strada/via - Inserire la via/strada della fonderia che esegue il trattamento di trasformazione dei minerali che entrano nella vostra catena di fornitura. Questo campo è facoltativo.</t>
  </si>
  <si>
    <t>8. İzabe Tesisinin Bulunduğu Cadde - İzabe tesisinin yer aldığı caddenin adını girin. Bu alanın doldurulması isteğe bağlıdır.</t>
  </si>
  <si>
    <t>9.  製錬業者所在地：市　－　製錬所の所在する市を記入してください。この欄は任意記入欄です。</t>
  </si>
  <si>
    <t>9. 제련소 시 – 제련소가 위치하고 있는 도시를 기입하십시오. 이 필드는 선택사항입니다.</t>
  </si>
  <si>
    <t>9. Ville de la fonderie – indique le nom de la ville où est située la fonderie. Ce champ est facultatif.</t>
  </si>
  <si>
    <t>9. Cidade da fundição – Forneça o nome da cidade em que se localiza a fundição. Este campo é opcional.</t>
  </si>
  <si>
    <t>9. Ort des Schmelzofens – Geben Sie den Namen des Ortes an, in dem sich der Schmelzofen befindet. Das Ausfüllen dieses Feldes ist freiwillig.</t>
  </si>
  <si>
    <t>9.  Ciudad del fundidor: informe el nombre de la ciudad en la que se ubica el fundidor.  El campo es opcional.</t>
  </si>
  <si>
    <t>9. Sedi delle Fonderie: città - inserire la città della fonderia che esegue il trattamento di trasformazione dei minerali che entrano nella vostra catena di fornitura.  Questo campo è facoltativo.</t>
  </si>
  <si>
    <t>9. İzabe Tesisinin Bulunduğu Şehir – İzabe tesisinin bulunduğu şehrin adını girin. Bu alanın doldurulması isteğe bağlıdır.</t>
  </si>
  <si>
    <t>10.  製錬業者所在地： 州／県／省（該当する場合のみ回答）　－　製錬所の所在する州又は県を記入してください。この欄は任意記入欄です。</t>
  </si>
  <si>
    <t>10. 제련소 위치: 도/주, 해당할 경우 – 제련소가 위치하고 있는 도나 주를 기입하십시오. 이 필드는 선택사항입니다.</t>
  </si>
  <si>
    <t>10. Emplacement de la fonderie : État/province, le cas échéant – indique l’État ou la province où est située la fonderie. Ce champ est facultatif.</t>
  </si>
  <si>
    <t>10. Localização da fundição: Estado ou província, quando aplicável – Forneça o estado ou a província em que se localiza a fundição. Este campo é opcional.</t>
  </si>
  <si>
    <t>10. Standort des Schmelzofens: Ggf. Bundesland/Region/Provinz – Geben Sie das Bundesland oder die Region/Provinz des Schmelzofenstandortes an. Das Ausfüllen dieses Feldes ist freiwillig.</t>
  </si>
  <si>
    <t>10.  Ubicación del fundidor:  Estado/Provincia, si corresponde: informe el estado o provincia en el que se ubica el fundidor.  El campo es opcional.</t>
  </si>
  <si>
    <t>10. Sedi delle Fonderie:  Stato (se applicabile) - inserire lo Stato della fonderia che esegue il trattamento di trasformazione dei minerali che entrano nella vostra catena di fornitura. Questo campo è facoltativo.</t>
  </si>
  <si>
    <t>10. İzabe Tesisinin Bulunduğu Konum: Uygun olduğunda, Eyalet/İl – İzabe tesisinin bulunduğu eyalet ya da ilin adını girin. Bu alanın doldurulması isteğe bağlıdır.</t>
  </si>
  <si>
    <t xml:space="preserve">11.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</si>
  <si>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11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</si>
  <si>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</si>
  <si>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</si>
  <si>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</si>
  <si>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</si>
  <si>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İzabe Tesisi İrtibat Kişisi Adı – İhtilaf Konusu Maden Raporlama Şablonu (CMRT), talep eden şirketin tedarik zincirindeki şirketler arasında gezdirilerek İhtilaftan Etkilenen ya da Yüksek Riskli Alanlardan elde edilen Madenlerin Sorumlu Tedarik Zinciri için OECD Durum Tespiti Kılavuzu ve ABD Menkul Kıymetler ve Döviz Komisyonu ihtilaf konusu madenler ile ilgili Nihai Kurallarına uyumluluğu sağlamayı amaçlar. 
Şablonun, kişisel bilgileri koruyan kanunların yürürlükte olduğu ülkelere iletilmesi durumunda, CMRT'de kişisel bilgilerin paylaşılması ilgili düzenlemeleri ihlal edebilir. Bu nedenle, talep edilen şirketin, "İzabe Tesisi İrtibat Kişisi Adı" ve "İzabe Tesisi İrtibat Kişisi E-postası" alanlarını doldururken, ilgili kişiden bu bilgilerin tedarik zincirindeki diğer şirketler ile paylaşılması yönünde izin alması önerilir.
Bu bilgiyi paylaşma izniniz varsa, lütfen birlikte çalıştığınız İzabe Tesisi İrtibat Kişisinin adını girin.</t>
  </si>
  <si>
    <t>8. 冶炼厂所在街道 - 提供冶炼厂所在街道的名称。此栏自由选择填写。</t>
  </si>
  <si>
    <t>9. 冶炼厂所在城市 - 提供冶炼厂所在城市的名称。此栏自由选择填写。</t>
  </si>
  <si>
    <t>10. 冶炼厂地点： 州/省（如适用）- 提供冶炼厂所在的州/省。此栏自由选择填写。</t>
  </si>
  <si>
    <r>
      <t xml:space="preserve">11.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</si>
  <si>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t xml:space="preserve">11.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</si>
  <si>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12. 冶炼厂联系电邮地址 - 填入被确认为冶炼厂联系人的电邮地址作为冶炼厂联系信息。 例如： John.Smith@SmelterXXX.com。         请在填写此栏前阅读冶炼厂联系名称指引。 </t>
  </si>
  <si>
    <t>12. 製錬業者連絡先電子メール　－　上記製錬施設連絡先担当者のメールアドレスを記入してください。
例：John.Smith@SmelterXXX.com 　この欄を記入する前に、「製錬業者連絡先担当者名」の説明を確認してください。</t>
  </si>
  <si>
    <t>12.  제련소 담당자 이메일 - 귀사에 공급하는 제련소 담당자의 이메일 주소를 기입하시오.  예: John.Smith@SmelterXXX.com.  이 필드를 완료하기 전에 제련소 담당자 이름에 대한 설명을 읽어보십시요.</t>
  </si>
  <si>
    <t>12. Adresse Email du contact de la fonderie- Indiquez l'adresse email du contact que vous avez identifié pour la fonderie . Exemple: John.Smith@SmelterXXX.com. Merci de lire les instructions sur le nom du contact de la fonderie avant de remplir ce champ.</t>
  </si>
  <si>
    <t>12.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</si>
  <si>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Schmelzer Kontakt-E-Mail - Tragen Sie die E-mail Adresse des Ansprechpartners des Schmelzers ein. Zum Beispiel:   John.Smith@SmelterXXX.com.  Lesen Sie bitte die Anweisungen für die Eingabe des Ansprechpartners  vor der Eingabe des Kontakt Namens.</t>
  </si>
  <si>
    <t>12.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</si>
  <si>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Nome del contatto della Fonderia: Inserire l'indirizzo e-mail della persona della fonderia identificata. Esempio: John.Smith@fonderiaXXX.com. Si prega di rivedere le istruzioni relative alla persona di contatto della fonderia prima di completare questo campo.</t>
  </si>
  <si>
    <t>12. İzabe Tesisi İrtibat Kişisi E-postası – İzabe Tesisi İrtibat Kişisi Adı kısmında belirttiğiniz İzabe Tesisi irtibat kişisinin e-posta adresini girin. Örnek: John.Smith@SmelterXXX.com. Bu alanı doldurmadan önce lütfen İzabe Tesisi İrtibat Kişisi Adı kısmında verilen talimatları inceleyin.</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</si>
  <si>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
The CMRT was designed for downstream companies to disclose information about their supply chains up to but not including the smelter.  If you are a 3TG smelter or refiner, in accordance with the CFSP protocols, we recommend you enter your own name in the smelter list tab.
When filling out the form, none of the cell entries should start will "=" or "#."</t>
  </si>
  <si>
    <t>Mandatory fields are noted with an asterisk (*).</t>
  </si>
  <si>
    <t>TO BEGIN:</t>
  </si>
  <si>
    <t>1. Smelter Identification Input Column - If you know the Smelter Identification Number, input the number in Column A (columns B, C, D, E, F, G, I, and J will auto-populate).  Column A does not autopopulate.</t>
  </si>
  <si>
    <t xml:space="preserve">
Option A: If you know the Smelter Identification Number, input the number in Column A (columns B, C, D, E, F, G, I, and J will auto-populate).
Option B:  If you have a Metal and Smelter Reference List name combination, complete the following steps: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
NOTE: A combination of Options A and B can be used to complete the Smelter List tab.  Do not alter autopopulated cells.  All errors in the Smelter Reference List should be reported to CFSI by contacting info@conflictfreesmelter.org.
</t>
  </si>
  <si>
    <t>Smelter Identification Number Input Column</t>
  </si>
  <si>
    <t>3. Smelter Reference List(*) - Select from dropdown.  This is the list of known smelters as of template release date.  If smelter is not listed select 'Smelter Not Listed'.  This will allow you to enter the name of the smelter in Column D.  If you do not know the name or location of the smelter, select 'Smelter Not Yet Identified.'  For this option,  columns D and E will autopopulate to say, 'unknown.'  This field is mandatory.</t>
  </si>
  <si>
    <t>1. 冶炼厂识别输入列－如果您知道冶炼厂识别号码，则在 A 列输入号码（B、C、D、E、F、G、I 和 J 列将自动填入）。A 列不会自动填入。</t>
  </si>
  <si>
    <t>3. 冶炼厂参考清单 (*)－在下拉菜单中选择。清单列出了所有直到发布此申报模板时已知的冶炼厂。如果冶炼厂不在清单中时请选择‘冶炼厂没列出’。出现这种情况时请将该冶炼厂的名称输入 D 列。如果你不知道冶炼厂的名称或地点，请选择‘冶炼厂尚未被识别’。对于这个选项，D 和 E 列将会自动填入‘未知’。此栏必须填写。</t>
  </si>
  <si>
    <t>必填字段以星号 (*) 表示。</t>
  </si>
  <si>
    <t>冶炼厂识别号码输入列</t>
  </si>
  <si>
    <t>首先：</t>
  </si>
  <si>
    <t xml:space="preserve">选项 A：如果您有冶炼厂识别号码，请在 A 列输入号码（B、C、D、E、F、G、I 和 J 列将自动填入）。
选项 B：如果您有金属和冶炼厂参考清单名称组合，则完成以下步骤：
步骤 1. 选择 B 列中的金属
步骤 2. 从 C 列的下拉菜单中选择（错误组合将触发红色）
步骤 3. 如果从下拉菜单中选择“未列出的冶炼厂”，则填写 D 列和 E 列
步骤 4. 在 H 列至 P 列输入所有可用的冶炼厂信息
必填字段以星号 (*) 表示。
注意：选项 A 和 B 的组合可被用于填写冶炼厂清单选项卡。请勿更改自动填写的单元格。应通过联系 info@conflictfreesmelter.org，向 CFSI 报告冶炼厂参考清单中的所有错误。
</t>
  </si>
  <si>
    <t>1. 製錬業者識別番号の入力列－製錬業者識別番号が分かる場合は、その番号をA列に入力してください（B列、C列、D列、E列、F列、G列、I列、およびJ列は自動入力されます）。A列は自動入力されません。</t>
  </si>
  <si>
    <t>3. 製錬業者参照表（*）－ドロップダウンメニューから選択。ここに、テンプレート発行日時点の既知の製錬業者名が列記されています。製錬業者がここにない場合、「Smelter Not Listed（製錬業者が表に含まれていない）」を選択してください。これを選択すると、製錬業者名をＤ列に記入できるようになります。製錬業者の名前や所在地が分からない場合は、「Smelter Not Yet Identified（製錬業者を特定していない）」を選択してください。これを選択すると、Ｄ列とE列には「Unknown（不明）」と自動入力されます。この欄は必須です。（製錬業者が表に含まれていない）」を選択してください。これを選択すると、製錬業者名をＤ列に記入できるようになります。この欄は必須です。</t>
  </si>
  <si>
    <t>必須項目は（*）で表示。</t>
  </si>
  <si>
    <t>製錬業者識別番号の入力列</t>
  </si>
  <si>
    <r>
      <t>開始するには</t>
    </r>
    <r>
      <rPr>
        <b/>
        <sz val="11"/>
        <rFont val="Verdana"/>
        <family val="2"/>
      </rPr>
      <t xml:space="preserve">
</t>
    </r>
  </si>
  <si>
    <t xml:space="preserve">オプションA：製錬業者識別番号が分かる場合は、その番号をA列に入力してください（B列、C列、D列、E列、F列、G列、I列、およびJ列は自動入力されます）。
オプションB：金属と製錬業者参照表にある名前の組み合わせが分かる場合は、以下のステップを行ってください。
ステップ1. B列で金属を選択
ステップ2. C列のドロップダウンメニューで精錬業者名を選択（組み合わせが間違っている場合は赤色で表示）
ステップ3. ドロップダウンメニューで「Smelter Not Listed（製錬業者が表に含まれていない）」を選択した場合は、D列とE列に記入
ステップ4. 入手可能なすべての精錬業者情報をH列～P列に記入
必須項目は（*）で表示。
注：オプションAとオプションBの組み合わせを使用して、「Smelter List（製錬業者リスト）」のタブを入力できます。自動入力されたセルは変更しないでください。製錬業者参照表のすべてのエラーは、info@conflictfreesmelter.orgを使用してCFSIに報告してください。
</t>
  </si>
  <si>
    <t xml:space="preserve">1. 제련소 ID 입력 열 – 제련소 ID 번호를 아는 경우 A열에 번호를 입력합니다(B, C, D, E, F, G, I 및 J열은 자동으로 입력됨). A열은 자동으로 입력되지 않습니다. </t>
  </si>
  <si>
    <t xml:space="preserve">3. 제련소 참조 목록(Smelter Reference List)(*) – 드롭다운 메뉴에서 선택합니다. 이것은 템플릿 발표일을 기준으로 알려진 제련소 목록입니다. 제련소가 목록에 없으면 ‘제련소명 없음(Smelter Not Listed)’을 선택합니다. 이렇게 하면 D열에서 제련소명을 입력할 수 있습니다. 제련소명이나 위치를 모르는 경우 ‘제련소가 아직 식별되지 않음(Smelter Not Yet Identified)’을 선택합니다. 이 옵션의 경우 D열과 E열이 ‘모름(unknown)’으로 자동으로 입력됩니다. 이 필드는 필수 사항입니다. </t>
  </si>
  <si>
    <r>
      <t>필수</t>
    </r>
    <r>
      <rPr>
        <sz val="11"/>
        <rFont val="Calibri"/>
        <family val="2"/>
      </rPr>
      <t xml:space="preserve"> </t>
    </r>
    <r>
      <rPr>
        <sz val="11"/>
        <rFont val="Batang"/>
        <family val="1"/>
      </rPr>
      <t>필드는</t>
    </r>
    <r>
      <rPr>
        <sz val="11"/>
        <rFont val="Calibri"/>
        <family val="2"/>
      </rPr>
      <t xml:space="preserve"> </t>
    </r>
    <r>
      <rPr>
        <sz val="11"/>
        <rFont val="Batang"/>
        <family val="1"/>
      </rPr>
      <t>별표</t>
    </r>
    <r>
      <rPr>
        <sz val="11"/>
        <rFont val="Calibri"/>
        <family val="2"/>
      </rPr>
      <t>(*)</t>
    </r>
    <r>
      <rPr>
        <sz val="11"/>
        <rFont val="Batang"/>
        <family val="1"/>
      </rPr>
      <t>로</t>
    </r>
    <r>
      <rPr>
        <sz val="11"/>
        <rFont val="Calibri"/>
        <family val="2"/>
      </rPr>
      <t xml:space="preserve"> </t>
    </r>
    <r>
      <rPr>
        <sz val="11"/>
        <rFont val="Batang"/>
        <family val="1"/>
      </rPr>
      <t>표시됩니다</t>
    </r>
    <r>
      <rPr>
        <sz val="11"/>
        <rFont val="Calibri"/>
        <family val="2"/>
      </rPr>
      <t xml:space="preserve">. </t>
    </r>
  </si>
  <si>
    <t>제련소 ID 번호 입력 열</t>
  </si>
  <si>
    <t xml:space="preserve">시작하려면:
</t>
  </si>
  <si>
    <t xml:space="preserve">옵션 A: 제련소 ID 번호가 있는 경우 A열에 번호를 입력합니다(B, C, D, E, F, G, I 및 J열은 자동으로 입력됨). 
옵션 B:  금속 및 제련소 참조 목록(Smelter Reference List) 이름 조합이 있는 경우 다음 단계를 완료합니다. 
단계 1. B열에서 금속을 선택합니다. 
단계 2. C열의 드롭다운 메뉴에서 선택합니다(조합이 바르지 않을 경우 적색이 나타남). 
단계 3. 드롭다운 메뉴에서 “제련소명 없음(Smelter Not Listed)”을 선택할 경우, D 및 E열을 작성합니다. 
단계 4. H ~ P열에 사용 가능한 모든 제련소 정보를 입력합니다. 
필수 필드는 별표(*)로 표시됩니다. 
참고: 옵션 A 및 B의 조합은 제련소 목록(Smelter List) 탭을 작성하는 데 사용할 수 있습니다. 자동으로 입력된 셀을 변경하지 마십시오. 제련소 참조 목록(Smelter Reference List)의 모든 오류는 info@conflictfreesmelter.org로 연락하여 CFSI에 보고해야 합니다. 
</t>
  </si>
  <si>
    <t>1. Colonne d’entrée de l’identification de la fonderie. Si vous connaissez le numéro d’identification de la fonderie, saisissez-le dans la colonne A (les colonnes B, C, D, E, F, G, I et J se rempliront automatiquement). La colonne A ne se remplit pas automatiquement.</t>
  </si>
  <si>
    <t>3. Liste de référence des fonderies (*) - Sélectionnez dans la liste déroulante. Il s’agit de la liste des fonderies identifiées à la date de publication du formulaire. Si la fonderie ne figure pas dans la liste, choisissez « La fonderie ne figure pas dans la liste ». Cela vous permettra de saisir le nom de la fonderie dans la colonne D. Si vous ne connaissez pas le nom ou l’emplacement de la fonderie, choisissez « La fonderie n’est pas encore identifiée ». Dans ce cas, les colonnes D et E indiqueront automatiquement « inconnu ». Ce champ est obligatoire.</t>
  </si>
  <si>
    <t>Les champs obligatoires sont indiqués par un astérisque (*).</t>
  </si>
  <si>
    <t>Colonne de saisie du numéro d’identification de la fonderie</t>
  </si>
  <si>
    <t>POUR COMMENCER :</t>
  </si>
  <si>
    <t xml:space="preserve">Option A : Si vous connaissez le numéro d’identification de la fonderie, saisissez-le dans la colonne A (les colonnes B, C, D, E, F, G, I et J se rempliront automatiquement).
Option B : Si vous connaissez une combinaison métal et fonderie figurant dans la liste de référence des fonderies, effectuez les étapes suivantes :
Étape 1. Sélectionnez le métal dans la colonne B 
Étape 2. Sélectionnez dans la liste déroulante de la colonne C (une mauvaise combinaison déclenche la couleur ROUGE)
Étape 3. Si la sélection de la liste déroulante est « La fonderie ne figure pas dans la liste », remplissez les colonnes D et E
Étape 4. Saisissez toutes les informations disponibles sur la fonderie dans les colonnes H à P
Les champs obligatoires sont indiqués par un astérisque (*).
REMARQUE : Une combinaison des options A et B peut être utilisée pour remplir l’onglet Liste des fonderies. Ne modifiez pas les cellules remplies automatiquement. Toutes les erreurs figurant dans la liste de référence des fonderies doivent être signalées à la CFSI en contactant info@conflictfreesmelter.org.
</t>
  </si>
  <si>
    <t>1. Coluna de entrada de identificação de fundição - se souber o número de identificação de fundição, coloque-o na coluna A (as colunas B, C, D, E, F, G, I e J são de preenchimento automático).  A coluna A não preenche automaticamente.</t>
  </si>
  <si>
    <t>3. Lista de referência de fundições(*) - selecione na lista suspensa.  Essa é a lista de fundições conhecidas na data de divulgação do modelo.  Se a fundição não estiver listada, selecione "Fundição não listada".  Isso permitirá inserir o nome da fundição na coluna D. Se não souber o nome ou local da fundição, selecione "Fundição ainda não identificada".  Nessa opção, as colunas D e E serão preenchidas automaticamente com "desconhecida".  Este campo é obrigatório.</t>
  </si>
  <si>
    <t>Campos obrigatórios estão marcados com um asterisco (*).</t>
  </si>
  <si>
    <t>Coluna de entrada do número de identificação da fundição</t>
  </si>
  <si>
    <t>PARA INICIAR:</t>
  </si>
  <si>
    <t xml:space="preserve">Opção A: Se tiver um número de identificação de fundição, coloque-o na coluna A (as colunas B, C, D, E, F, G, I e J são de preenchimento automático).
Opção B:  Se tiver uma combinação de nomes da Lista de referência de fundições e Metal, execute as seguintes etapas:
Etapa 1. Selecione Metal na coluna B
Etapa 2. Selecione da lista suspensa na coluna C (a combinação errada acionará a cor VERMELHA)
Etapa 3. Se a seleção da lista suspensa for "Fundição não listada", preencha as colunas D e E
Etapa 4. Digite todas as informações disponíveis da fundição nas colunas H até P
Campos obrigatórios estão marcados com um asterisco (*).
OBSERVAÇÃO: É possível usar uma combinação das Opções A e B para preencher a guia Lista de fundições.  Não altere as células de preenchimento automático.  Todos os erros na Lista de referência de fundições devem ser relatados à CFSI pelo e-mail info@conflictfreesmelter.org."
</t>
  </si>
  <si>
    <t>1. Eingabespalte Schmelzofenidentifizierung – Wenn Sie die Schmelzofenidentifizierungsnummer kennen, geben Sie die Nummer in Spalte A ein (Spalten B, C, D, E, F, G, I und J füllen sich automatisch aus).  Spalte A füllt sich nicht automatisch aus.</t>
  </si>
  <si>
    <t>3. Schmelzöfen-Referenzliste(*) – Aus dem Dropdown-Menü auswählen.  Das ist die Liste der bekannten Schmelzöfen zum Veröffentlichungsdatum der Vorlage.  Falls der Schmelzofen nicht auf der Liste ist, wählen Sie „Schmelzofen nicht aufgeführt“ aus.  Dies erlaubt Ihnen, den Namen des Schmelzofens in Spalte D einzugeben. Falls Sie den Namen oder den Standort des Schmelzofens nicht kennen, wählen Sie „Schmelzofen noch nicht identifiziert“ aus.  Für diese Option füllen sich die Spalten D und E automatisch z. B. zu „unbekannt“ aus.  Dieses Feld muss ausgefüllt werden.</t>
  </si>
  <si>
    <t>Pflichtfelder sind mit einem Sternchen (*) gekennzeichnet.</t>
  </si>
  <si>
    <t xml:space="preserve">Eingabespalte Schmelzofenidentifizierungsnummer </t>
  </si>
  <si>
    <t>UM ZU BEGINNEN:</t>
  </si>
  <si>
    <t xml:space="preserve">Option A: Wenn Sie eine Schmelzofenidentifizierungsnummer haben, geben Sie die Nummer in Spalte A ein (Spalten B, C, D, E, F, G, I und J füllen sich automatisch aus).
Option B:  Falls Sie eine Metall- und Schmelzöfen-Referenzlistennamenskombination haben, führen Sie die folgenden Schritte aus:
Schritt 1. Wählen Sie das Metall in Spalte B aus.
Schritt 2. Wählen Sie aus dem Dropdown-Menü in Spalte C (die falsche Kombination löst die Farbe ROT aus)
Schritt 3. Wenn die Auswahl aus dem Dropdown-Menü „Schmelzofen nicht aufgeführt“ lautet, vervollständigen Sie Spalten D und E
Schritt 4. Geben Sie alle verfügbaren Schmelzofeninformationen in die Spalten H bis P ein
Pflichtfelder sind mit einem Sternchen (*) gekennzeichnet.
HINWEIS: Eine Kombination der Optionen A und B kann zur Vervollständigung des Schmelzöfenreiters verwendet werden.  Ändern Sie keine automatisch ausgefüllten Felder.  Alle Fehler in der Schmelzöfen-Referenzliste sollten über info@conflictfreesmelter.org an CSFI gemeldet werden.“
</t>
  </si>
  <si>
    <t>1. Columna para ingresar la identificación del fundidor: si conoce el número de identificación del fundidor, ingréselo en la columna A (las columnas B, C, D, E, F, G, I y J se completarán automáticamente). La columna A no se completa en forma automática.</t>
  </si>
  <si>
    <t xml:space="preserve">3. Lista de referencia del fundidor(*): seleccione una opción de la lista desplegable. Esta es la lista de fundidores conocidos a la fecha de publicación de la plantilla. Si el fundidor no aparece, seleccione la opción “Smelter Not Listed” (Fundidor no registrado). Esto le permitirá ingresar el nombre del fundidor en la columna D. Si no conoce el nombre ni la ubicación del fundidor, seleccione la opción "Smelter Not Yet Identified" (Fundidor aún no identificado). Si selecciona esta opción, las columnas D y E se completarán con la palabra “unknown” (desconocido). Este campo es obligatorio.
 </t>
  </si>
  <si>
    <t>Los campos obligatorios están marcados con un asterisco (*).</t>
  </si>
  <si>
    <t>Columna para ingresar el número de identificación del fundidor</t>
  </si>
  <si>
    <t>PARA COMENZAR:</t>
  </si>
  <si>
    <t xml:space="preserve">Opción A: Si conoce el número de identificación del fundidor, ingréselo en la columna A (las columnas B, C, D, E, F, G, I y J se completarán automáticamente).
Opción B: Si tiene un nombre combinado de la Lista de referencia de fundidores y metales, complete los siguientes pasos:
Paso 1. Seleccione Metal en la columna B.
Paso 2. Seleccione una opción de la lista desplegable de la columna C (una combinación errónea activará el color ROJO).
Paso 3. Si la selección de la lista desplegable es “Smelter Not Listed” (Fundidor no registrado), complete las columnas D y E.
Paso 4. Ingrese toda la información disponible sobre el fundidor en las columnas H a P.
Los campos obligatorios están marcados con un asterisco (*).
NOTA: Se puede usar una combinación de las Opciones A y B para completar la pestaña Smelter List (Lista de fudidores). No haga cambios en las celdas que se llenen automáticamente. Todos los errores de la Lista de referencia de fundidores deben informarse a la Iniciativa de Suministro Sin Conflicto (Conflict-Free Sourcing Initiative, CFSI) enviando un mensaje a info@conflictfreesmelter.org.
</t>
  </si>
  <si>
    <t>1. Colonna di immissione identificativo fonderia - Se si conosce il numero identificativo della fonderia, immetterlo nella colonna A (le colonne B, C, D, E, F, G, I e J verranno popolate automaticamente). La colonna A non viene popolata automaticamente.</t>
  </si>
  <si>
    <t>3. Lista dei riferimenti della fonderia(*) - Selezionare un’opzione dal menu a tendina.  Questa è la lista di fonderie note alla data di pubblicazione del modello. Se la fonderia non è inclusa nella lista, selezionare “Fonderia non presente”. Ciò consentirà di individuare il nome della fonderia nella colonna D. Se non si conosce il nome o la sede della fonderia, selezionare “Fonderia non ancora identificata”. Per questa opzione, le colonne D ed E verranno popolate automaticamente con “sconosciuto”. Questo campo è obbligatorio.</t>
  </si>
  <si>
    <t>I campi obbligatori sono contrassegnati con un asterisco (*).</t>
  </si>
  <si>
    <t>Colonna di immissione numero di identificazione fonderia</t>
  </si>
  <si>
    <r>
      <t>PER INIZIARE:</t>
    </r>
    <r>
      <rPr>
        <b/>
        <sz val="11"/>
        <rFont val="Verdana"/>
        <family val="2"/>
      </rPr>
      <t xml:space="preserve">
</t>
    </r>
  </si>
  <si>
    <t xml:space="preserve">Opzione A: Se si dispone del numero di identificazione della fonderia, immetterlo nella colonna A (le colonne B, C, D, E, F, G, I e J verranno popolate automaticamente).
Opzione B:  Se si dispone della combinazione di nomi metallo e lista dei riferimenti della fonderia, procedere come indicato di seguito:
Fase 1. Selezionare il metallo nella colonna B
Fase 2. Selezionare dal menu a tendina nella colonna C (una combinazione errata verrà visualizzata con il colore ROSSO)
Fase 3. Se l’opzione selezionata nel menu a tendina è “Fonderia non presente” completare le colonne D ed E
Fase 4. Inserire tutti i dati disponibili sulla fonderia nelle colonne da H a P
I campi obbligatori sono contrassegnati con un asterisco (*).
NOTA: Per completare la scheda della lista delle fonderie è possibile utilizzare una combinazione delle Opzioni A e B. Non modificare le celle popolate automaticamente. Tutti gli errori presenti nella lista dei riferimenti della fonderia vanno segnalati al CFSI tramite l’indirizzo e-mail info@conflictfreesmelter.org”.
</t>
  </si>
  <si>
    <t>1. İzabe Tesisi Tanımlaması Giriş Sütunu - İzabe Tesisi Tanımlama Numarasını biliyorsanız A sütununa girin (B, C, D, E, F, G, I ve J sütunları otomatik olarak doldurulur).  A sütunu otomatik olarak doldurulmaz.</t>
  </si>
  <si>
    <t>3. İzabe Tesisi Referans Listesi(*) - Açılır menüden seçim yapın.  Bu, şablonun yayınlanma tarihi itibariyla bilinen izabe tesisi listesidir.  İzabe tesisi listelenmemişse, "İzabe Tesisi Listelenmemiş" ögesini seçin.  Bu, izabe tesisinin adını D sütununa girmeniz, sağlayacaktır. İzabe tesisinin adını veya konumunu bilmiyorsanız, "İzabe Tesisi Henüz Tanımlanmamış" ögesini seçin.  Bu seçenek için, D ve E sütunları otomatik olarak "bilinmiyor" şeklinde doldurulur.  Bu alanın doldurulması zorunludur.</t>
  </si>
  <si>
    <t>Doldurulması zorunlu alanlar yıldız imi (*) ile gösterilmiştir.</t>
  </si>
  <si>
    <t>İzabe Tesisi Tanımlama Numarası Giriş Sütunu</t>
  </si>
  <si>
    <t xml:space="preserve">BAŞLAMAK İÇİN:
</t>
  </si>
  <si>
    <t xml:space="preserve">A Seçeneği: İzabe Tesisi Tanımlama Numarasını biliyorsanız, A sütununa (B, C, D, E, F, G, I ve J sütunları otomatik olarak doldurulur) girin.
B Seçeneği:  Metal ve İzabe Tesisi Referans Listesi ad kombinasyonuna sahipseniz, aşağıdaki adımları tamamlayın:
1. Adım: B sütununda Metal ögesini seçin
2. Adım: C sütunundaki açılır menüden seçim yapın (yanlış kombinasyonlar KIRMIZI renkle gösterilecektir)
3. Adım: Açılır menüde "İzabe Tesisi Listelenmemiş" seçimi yapılmışsa, D ve E sütunlarını doldurun
4. Adım: Elinizdeki tüm izabe tesisi bilgilerini H ila P sütunlarına girin
Doldurulması zorunlu alanlar yıldız imi (*) ile gösterilmiştir.
NOT: İzabe Tesisi Listesi sekmesini doldurmak için, A ve B seçeneklerinin bir kombinasyonu kullanılabilir.  Otomatik doldurulan hücreleri değiştirmeyin.  İzabe Tesisi Referans Listesindeki tüm hatalar, info@conflictfreesmelter.org adresi yoluyla iletişim kurularak CFSI'ya bildirilmelidir.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</si>
  <si>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
Burada Dil Tercihini Belirleyin:</t>
  </si>
  <si>
    <t>1. Insert your company's Legal Name.  Please do not use abbreviations. In this field you have the option to add other commercial names, DBAs, etc.</t>
  </si>
  <si>
    <t>CONGO (DEMOCRATIC REPUBLIC OF THE)</t>
  </si>
  <si>
    <t>BOLIVIA (PLURINATIONAL STATE OF)</t>
  </si>
  <si>
    <t>KOREA (DEMOCRATIC PEOPLE'S REPUBLIC OF)</t>
  </si>
  <si>
    <t>KOREA (REPUBLIC OF)</t>
  </si>
  <si>
    <t>MACEDONIA (THE FORMER YUGOSLAV REPUBLIC OF)</t>
  </si>
  <si>
    <t>TAIWAN, PROVINCE OF CHINA</t>
  </si>
  <si>
    <t>UNITED KINGDOM OF GREAT BRITAIN AND NORTHERN IRELAND</t>
  </si>
  <si>
    <t>UNITED STATES OF AMERICA</t>
  </si>
  <si>
    <t xml:space="preserve">3. This is a declaration that any portion of the 3TGs contained in a product or multiple products originates from the DRC or an adjoining country (covered countries). 
The answer to this query shall be "yes", "no", or "unknown". Substantiate a "Yes" answer in the comments section.
This question is mandatory for a specific metal if the response to Question 1 or 2 is “Yes” for that metal. </t>
  </si>
  <si>
    <t>3. 这是要申报存在于一种产品或多种产品中的 3TG 的任何部分的源产地是刚果民主共和国及其毗邻受管制国家。
以“是”、“否”或“不知道”来答复此问题。请在注释部分提供证明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</si>
  <si>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「Yes（はい）」「No（いいえ）」又は「Unknown（不明）」で回答してください。「Yes（はい）」と回答した場合は、コメント欄に具体的に記入してください
この質問は、質問1又は2の回答が「Yes（はい）」の金属については必須となります。</t>
  </si>
  <si>
    <t>3. 이것은 한 제품이나 여러 제품들에 포함된 3TG의 일정 부분이 콩고공화국이나 그 인접국가(적용 국가들)로부터 유래된 것인지에 대한 신고입니다. 
이 질문에 대한 답은 "Yes", "No", 또는 "Unknown"이 되어야 합니다. "Yes"라고 대답한 경우 비고란에 구체적으로 기재하십시오
이 질문은 만일 특정 광물에 대한 질문1 또는 질문2의 답이 그 광물에 대해 "Yes"라면 필수 사항입니다.</t>
  </si>
  <si>
    <t>3. Il s’agit d’une déclaration selon laquelle une partie des 3TG contenue dans un ou plusieurs produits provient de la RDC ou d’un pays limitrophe (les pays couverts). 
La réponse à cette question doit être « oui », « non » ou « inconnu ». .Justifiez votre réponse affirmative dans la section des commentaires
Cette question est obligatoire pour un métal donné si la réponse à la question 1 ou 2 est « oui » pour ce métal.</t>
  </si>
  <si>
    <t>3. Esta é uma declaração de que qualquer parte dos minerais de conflito contidos em um produto ou em vários produtos tem origem na RDC ou em países vizinhos (países abrangidos). 
A resposta a esta pergunta deverá ser “Sim”, “Não” ou “Desconhecido”. Fundamente uma resposta “Sim” na área de comentários.
Esta pergunta é obrigatória para um metal específico se a resposta às perguntas 1 ou 2 for “Sim” para esse metal.</t>
  </si>
  <si>
    <t>3. Dies ist eine Erklärung, dass jedwede Menge der in einem Produkt oder in mehreren Produkten enthaltenen 3TG-Mineralien aus der Demokratischen Republik Kongo oder benachbarten Ländern stammt (umfasste Länder). 
Die Antwort auf diese Frage muss „Ja“ oder „Nein“ oder „Unbekannt“ lauten. Begründen Sie eine „Ja“-Antwort im Kommentarabschnitt
Diese Frage muss für ein bestimmtes Metall beantwortet werden, wenn die Antwort auf Frage 1 oder 2 „Ja“ für dieses Metall lautet.</t>
  </si>
  <si>
    <t xml:space="preserve">3.  Ésta es una declaración que menciona que cualquier parte de los 3TG contenidos en un producto o múltiples productos se originan del DRC o de un país contiguo (países cubiertos).  
La respuesta a esta pregunta debe ser "sí", "no" o "desconocido".  Confirme una respuesta afirmativa en la sección de comentarios
Esta pregunta es obligatoria para un metal específico si la respuesta a la Pregunta 1 o 2 es "sí" para ese metal. </t>
  </si>
  <si>
    <t>3. Questa è una dichiarazione che qualsiasi parte dei metalli di conflitto contenuta in uno o più prodotti deriva dalla DRC o paesi limitrofi (paesi interessati). 
La risposta a questa domanda può essere "sì", "no" o "sconosciuto". Motivare le risposte affermative (“Sì”) nella sezione dei commenti
Questa domanda è obbligatoria per un metallo specifico se la risposta alla domanda 1 o 2 è "Sì" relativamente a quel metallo.</t>
  </si>
  <si>
    <t>3. Bu, bir ya da birden fazla ürün içinde bulunan 3TG'lerin herhangi bir kısmının DKC veya komşu ülkelerinden (kapsam dahilindeki ülkelerden) geldiğine dair bir beyandır.  
Bu soruya "evet", "hayır" ya da "bilinmiyor" şeklinde yanıt verilmelidir. Verilen bir “Evet” yanıtının gerekçelerini Yorumlar bölümünde belirtin.
1 veya 2. soruya belirli bir metal için “Evet” yanıtı verilmişse, bu metal için bu soruya yanıt verilmesi zorunludur.</t>
  </si>
  <si>
    <t xml:space="preserve">The following list represents the CFSI's latest smelter name/alias information as of this templates release.  This list is updated frequently, and the most up-to-date version can be found on the CFSI website http://www.conflictfreesourcing.org/conflict-free-smelter-program/exports/cmrt-export/.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Names included in column B represent company names that are commonly recognized and reported by the supply chain for a particular smelter. These names may include former company names, alternate names, abbreviations, or other variations. Although the names may not be the CFSI Standard Smelter Name, the reference names are helpful to identify the smelter, which is listed under column C in the Smelter Reference List.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</si>
  <si>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Abington Reldan Metals, LLC</t>
  </si>
  <si>
    <t>CID002708</t>
  </si>
  <si>
    <t>Fairless Hills</t>
  </si>
  <si>
    <t>PA</t>
  </si>
  <si>
    <t>Degussa Sonne / Mond Goldhandel GmbH</t>
  </si>
  <si>
    <t>CID002867</t>
  </si>
  <si>
    <t>LinBao Gold Mining</t>
  </si>
  <si>
    <t>L'Orfebre S.A.</t>
  </si>
  <si>
    <t>CID002762</t>
  </si>
  <si>
    <t>Morris and Watson Gold Coast</t>
  </si>
  <si>
    <t>CID002866</t>
  </si>
  <si>
    <t>Pease &amp; Curren</t>
  </si>
  <si>
    <t>CID002872</t>
  </si>
  <si>
    <t>Samwon Metals Corp.</t>
  </si>
  <si>
    <t>Shandong Guoda Gold Co., Ltd.</t>
  </si>
  <si>
    <t>Taki Chemical Co., Ltd.</t>
  </si>
  <si>
    <t>Zhuzhou Cemented Carbide Group Co., Ltd.</t>
  </si>
  <si>
    <t>Pemali</t>
  </si>
  <si>
    <t>Gejiu</t>
  </si>
  <si>
    <t>PT Lautan Harmonis Sejahtera</t>
  </si>
  <si>
    <t>CID002870</t>
  </si>
  <si>
    <t>PT Menara Cipta Mulia</t>
  </si>
  <si>
    <t>CID002835</t>
  </si>
  <si>
    <t>Unecha Refractory metals plant</t>
  </si>
  <si>
    <t>CID002724</t>
  </si>
  <si>
    <t>Provide a valid email for contact in Declaration tab cell D16</t>
  </si>
  <si>
    <t>Andorra la Vella</t>
  </si>
  <si>
    <t>Gold Coast</t>
  </si>
  <si>
    <t>Queensland</t>
  </si>
  <si>
    <t>Selatan</t>
  </si>
  <si>
    <t>Timur</t>
  </si>
  <si>
    <t>Unecha Town</t>
  </si>
  <si>
    <t>Bryansk Region</t>
  </si>
  <si>
    <t>CID002918</t>
  </si>
  <si>
    <t>SungEel HiTech</t>
  </si>
  <si>
    <t>Gunsan</t>
  </si>
  <si>
    <t>North Jeolla Province</t>
  </si>
  <si>
    <t xml:space="preserve">This version incorporates a few changes to the smelter list as reflected in the Standard Smelter List as of October 6, 2016.  The latest version of the Standard Smelter List is available at: http://www.conflictfreesourcing.org/conflict-free-smelter-program/exports/cmrt-export/. </t>
  </si>
  <si>
    <t>Doldurun</t>
  </si>
  <si>
    <t>Revision 4.20
November 30, 2016</t>
  </si>
  <si>
    <t>Revision 4.20 November 30, 2016</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</si>
  <si>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
"RCOI confirmed as per CFSI" may be an acceptable answer to this question.</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</si>
  <si>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
"RCOI confirmed as per CFSI" may be an acceptable answer to this question.</t>
  </si>
  <si>
    <t xml:space="preserve">Select your company's Declaration Scope.  The options for scope are:
A.  Company
B.  Product (or List of Products)
C.  User-Defined
</t>
  </si>
  <si>
    <t>No, but greater than 75%</t>
  </si>
  <si>
    <t>否，但超过75%</t>
  </si>
  <si>
    <r>
      <t xml:space="preserve">1. </t>
    </r>
    <r>
      <rPr>
        <sz val="11"/>
        <color indexed="8"/>
        <rFont val="SimSun-ExtB"/>
        <family val="3"/>
      </rPr>
      <t>插入贵公司的法定名称。请不要使用缩写。在此字段中，您可以选择添加其他商业名称、营业名称等。</t>
    </r>
  </si>
  <si>
    <r>
      <t>欲了解运作的或合规的标准冶炼厂名称的最新及最准确目录，请参考</t>
    </r>
    <r>
      <rPr>
        <sz val="11"/>
        <color indexed="8"/>
        <rFont val="Calibri"/>
        <family val="2"/>
      </rPr>
      <t xml:space="preserve"> CFSI </t>
    </r>
    <r>
      <rPr>
        <sz val="11"/>
        <color indexed="8"/>
        <rFont val="SimSun-ExtB"/>
        <family val="3"/>
      </rPr>
      <t>网站</t>
    </r>
    <r>
      <rPr>
        <sz val="11"/>
        <color indexed="8"/>
        <rFont val="Calibri"/>
        <family val="2"/>
      </rPr>
      <t xml:space="preserve"> www.conflictfreesourcing.org </t>
    </r>
    <r>
      <rPr>
        <sz val="11"/>
        <color indexed="8"/>
        <rFont val="SimSun-ExtB"/>
        <family val="3"/>
      </rPr>
      <t>。</t>
    </r>
  </si>
  <si>
    <r>
      <t>在</t>
    </r>
    <r>
      <rPr>
        <sz val="11"/>
        <color indexed="8"/>
        <rFont val="Calibri"/>
        <family val="2"/>
      </rPr>
      <t xml:space="preserve"> B </t>
    </r>
    <r>
      <rPr>
        <sz val="11"/>
        <color indexed="8"/>
        <rFont val="SimSun-ExtB"/>
        <family val="3"/>
      </rPr>
      <t>列中包括的名称表示供应链对于特定冶炼厂通常认可和报告使用的公司名称。这些名称可能包括公司曾用名、备用名称、简称、或其他变体。虽然这些名称可能不是</t>
    </r>
    <r>
      <rPr>
        <sz val="11"/>
        <color indexed="8"/>
        <rFont val="Calibri"/>
        <family val="2"/>
      </rPr>
      <t xml:space="preserve"> CFSI </t>
    </r>
    <r>
      <rPr>
        <sz val="11"/>
        <color indexed="8"/>
        <rFont val="SimSun-ExtB"/>
        <family val="3"/>
      </rPr>
      <t>标准冶炼厂名称，但参考名称有助于识别冶炼厂，该冶炼厂列在冶炼厂参考列表中的</t>
    </r>
    <r>
      <rPr>
        <sz val="11"/>
        <color indexed="8"/>
        <rFont val="Calibri"/>
        <family val="2"/>
      </rPr>
      <t xml:space="preserve"> C </t>
    </r>
    <r>
      <rPr>
        <sz val="11"/>
        <color indexed="8"/>
        <rFont val="SimSun-ExtB"/>
        <family val="3"/>
      </rPr>
      <t>列下。</t>
    </r>
  </si>
  <si>
    <r>
      <t xml:space="preserve">C </t>
    </r>
    <r>
      <rPr>
        <sz val="11"/>
        <color indexed="8"/>
        <rFont val="SimSun-ExtB"/>
        <family val="3"/>
      </rPr>
      <t>列是官方标准冶炼厂名称的列表，被做为合格冶炼厂的法定名称。大多数冶炼厂的这两列具有相同的条目，然而，如果常用名称与标准名称不同，则在</t>
    </r>
    <r>
      <rPr>
        <sz val="11"/>
        <color indexed="8"/>
        <rFont val="Calibri"/>
        <family val="2"/>
      </rPr>
      <t xml:space="preserve"> B </t>
    </r>
    <r>
      <rPr>
        <sz val="11"/>
        <color indexed="8"/>
        <rFont val="SimSun-ExtB"/>
        <family val="3"/>
      </rPr>
      <t>列中注明这种变化。</t>
    </r>
  </si>
  <si>
    <t>以下目录是截止此模板发布时 CFSI 的最新冶炼厂名称/别名信息。 此目录实时更新，可于下述 CFSI 网站查询最新版本 http://www.conflictfreesourcing.org/conflict-free-smelter-program/exports/cmrt-export/。 在此处列出的冶炼厂并不证明该冶炼厂当前在无冲突冶炼厂计划中是运作的或合规的。
欲了解运作的或合规的标准冶炼厂名称的最新及最准确目录，请参考 CFSI 网站 www.conflictfreesourcing.org 。
在 B 列中包括的名称表示供应链对于特定冶炼厂通常认可和报告使用的公司名称。这些名称可能包括公司曾用名、备用名称、简称、或其他变体。虽然这些名称可能不是 CFSI 标准冶炼厂名称，但参考名称有助于识别冶炼厂，该冶炼厂列在冶炼厂参考列表中的 C 列下。
C 列是官方标准冶炼厂名称的列表，被做为合格冶炼厂的法定名称。大多数冶炼厂的这两列具有相同的条目，然而，如果常用名称与标准名称不同，则在 B 列中注明这种变化。</t>
  </si>
  <si>
    <t>在“申报”选项卡 D16 单元格中提供联系人有效的电子邮件地址</t>
  </si>
  <si>
    <t>在“申报”选项卡 D20 单元格中提供授权公司代表的有效的电子邮件地址</t>
  </si>
  <si>
    <t xml:space="preserve">选择贵公司的申报范围。范围的选项为：
A.公司
B.产品（或产品列表）
C.用户自定义
</t>
  </si>
  <si>
    <t>御社の申告範囲を選択してください。範囲の選択肢は以下のとおりです。
A. Company（会社）
B. Product (or List of Products)（製品（又は製品リスト））
C. User-Defined（ユーザー定義）</t>
  </si>
  <si>
    <t>「申告」タブのD20セルに会社から正式に認められた代表者の有効な電子メールを記入してください</t>
  </si>
  <si>
    <t>「申告」タブのD16セルに連絡先担当者の有効な電子メールを記入してください</t>
  </si>
  <si>
    <t>以下の製錬業者リストは、このテンプレート発表時点で最新のCFSIの製錬業者／別名の情報を表すものです。このリストは頻繁に更新されます。最新版については、CFSIウェブサイト（http://www.conflictfreesourcing.org/conflict-free-smelter-program/exports/cmrt-export/）にてご確認ください。このリストに製錬業者の名前が掲載されている場合であっても、それはコンフリクトフリー製錬業者プログラム内で現在アクティブまたは適合しているという保証ではありません。
最新版かつ正確な標準製錬業者（アクティブまたは適合）リストについては、CFSIウェブサイト（http://www.conflictfreesourcing.org）を参照してください。
B列に記載されている名前は、特定の製錬業者のサプライチェーンによって一般的に認められており、また報告されている社名です。これらの名前には、旧社名、別名、省略形その他の変化形が含まれている可能性があります。名前がCFSIの標準製錬業者名ではない場合でも、参照名は、製錬業者参照表のC列に記載されている製錬業者を特定する上で役に立ちます。
C列は、資格を持つ製錬業者の正式名称と理解されている、正式な標準製錬業者名のリストです。大多数の製錬業者の名前は両列で同じですが、一般名称が正式名と違う場合は、Bにその違いが注記されています。</t>
  </si>
  <si>
    <t>1. 御社の正式名称を記入してください。省略形は使わないでください。このフィールドでは、他の社名やDBAなどを追加することができます。</t>
  </si>
  <si>
    <t xml:space="preserve">1. 귀사의 법적인 공식 명칭을 기입하십시오. 축약된 명칭을 기입하면 안됩니다. 이 필드에는 다른 상업명, DBA 등을 추가할 수 있는 옵션이 있습니다. </t>
  </si>
  <si>
    <t xml:space="preserve">다음 목록은 이 템플릿의 발표 시점을 기준으로 한 CFSI의 최신 제련소 명칭/별칭 정보를 나타냅니다. 이 목록은 자주 업데이트되며, 최신 버전은 CFSI 웹사이트(http://www.conflictfreesourcing.org/conflict-free-smelter-program/exports/cmrt-export/)에서 참조할 수 있습니다. 이 목록에 제련소가 포함되어 있다고 해서 해당 제련소가 현재 분쟁으로부터 자유로운 제련소 프로그램 내에서 활동 중이거나 그 범위를 준수한다고 보장하는 것은 아닙니다.
프로그램 내에서 활동 중이거나 그 범위를 준수하고 있는 가장 최근의 정확한 표준 제련소 명칭 목록은 CFSI 웹사이트인 www.conflictfreesourcing.org를 참조하십시오. 
B열에 포함된 명칭은 특정 제련소에 대한 공급망에 의해 일반적으로 인식 및 보고되는 회사명을 나타냅니다. 이러한 이름에는 이전의 회사명, 대체 명칭, 약어 또는 기타 다른 명칭이 포함될 수 있습니다. 명칭이 CFSI 제련소 표준 명칭이 아닐 수 있지만, 참조 명칭은 제련소 참조 목록의 C열 아래 나열된 제련소를 식별하는 데 유용합니다.
C열은 공식적인 제련소 표준 명칭의 목록이며, 자격을 갖춘 제련소의 법적 명칭이 되기도 합니다. 대다수 제련소들의 명칭이 두 열 모두 동일하지만, 일반 명칭이 표준 명칭과 다를 경우, 다른 명칭이 B열에 표기됩니다. 
</t>
  </si>
  <si>
    <t xml:space="preserve">신고(Declaration) 탭의 D16 셀에 올바른 담당자 이메일을 입력하십시오. </t>
  </si>
  <si>
    <t xml:space="preserve">신고(Declaration) 탭의 D20 셀에 인가된 회사 대표의 올바른 이메일을 입력하십시오. </t>
  </si>
  <si>
    <t xml:space="preserve">귀사의 신고 범위를 선택하십시오. 신고 범위의 선택사항은 다음과 같습니다. 
A. 회사
B. 제품(또는 제품 목록)
C. 사용자 정의
</t>
  </si>
  <si>
    <t>Sélectionnez la portée de la déclaration de votre société. Les options de portée sont les suivantes :
A. Société
B. Produit (ou liste de produits)
C. Définie par l’utilisateur</t>
  </si>
  <si>
    <t>Saisissez une adresse e-mail valide du représentant agréé de la société dans la cellule D20 de l’onglet Déclaration</t>
  </si>
  <si>
    <t>Saisissez une adresse e-mail de contact valide dans la cellule D16 de l’onglet Déclaration</t>
  </si>
  <si>
    <t xml:space="preserve">La liste suivante représente les dernières informations de la CFSI relatives au nom/pseudonyme de la fonderie au moment de la publication de ce modèle. Cette liste est mise à jour régulièrement et la version la plus à jour peut être consultée sur le site Web de la CFSI à l’adresse http://www.conflictfreesourcing.org/conflict-free-smelter-program/exports/cmrt-export/. La présence d’une fonderie ici ne représente PAS une garantie qu’elle soit actuellement active ou conforme au programme des fonderies hors conflits.
Veuillez consulter le site Web de la CFSI à l’adresse www.conflictfreesourcing.org pour obtenir une liste récente et précise des noms de fonderie standard qui sont actives ou conformes. 
Les noms figurant dans la colonne B représentent des noms de sociétés généralement reconnues et déclarées par la chaîne d’approvisionnement pour une fonderie particulière. Ces noms peuvent comprendre d’anciens noms de sociétés, d’autres noms, des abréviations ou d’autres variantes. Bien que les noms ne soient peut-être pas les noms de fonderie standard de la CFSI, les noms de référence sont utiles pour identifier la fonderie, qui est répertoriée dans la colonne C dans la liste de référence des fonderies.
La colonne C correspond à la liste des noms officiels de fonderie standard, qui sont les dénominations sociales des fonderies admissibles. La plupart des fonderies auront la même entrée pour les deux colonnes ; toutefois, si le nom courant est différent du nom standard, la variation est indiquée dans la colonne B. </t>
  </si>
  <si>
    <t>1. Insérez la dénomination sociale de votre société. Merci de ne pas utiliser d’abréviations. Dans ce champ, vous avez la possibilité d’ajouter d’autres noms commerciaux, raisons sociales, etc.</t>
  </si>
  <si>
    <t>1. Insira a razão/denominação social da empresa. Não use abreviaturas. Neste campo você tem a opção de adicionar outros nomes comerciais, DBAs, etc.</t>
  </si>
  <si>
    <t xml:space="preserve">A lista a seguir representa as informações mais recentes da CFSI sobre nomes/pseudônimos de fundições no momento da divulgação deste modelo. Essa lista é atualizada frequentemente e a versão mais atual está disponível no site da CFSI, http://www.conflictfreesourcing.org/conflict-free-smelter-program/exports/cmrt-export/. A presença de uma fundição aqui NÃO é uma garantia de que ela esteja atualmente Ativa ou Em conformidade com o Programa de fundições sem conflito (CFSP, Conflict-Free Smelter Program).
Consulte o site da CFSI, www.conflictfreesourcing.org, para obter a versão mais recente e exata da lista de nomes padrão de fundições que estão Ativas ou Em conformidade. 
Os nomes na coluna B representam nomes de empresas normalmente reconhecidas e relatadas pela cadeia de suprimentos de uma fundição específica. Estes nomes podem incluir nomes antigos da empresa, nomes alternativos, abreviaturas ou outras variações. Embora os nomes possam não ser o nome da fundição padrão na CFSI, os nomes de referência são úteis para identificar a fundição, listada na coluna C na Lista de referência de fundições.
A coluna C é a lista dos nomes padrão oficiais de fundições, considerados como razões sociais das fundições elegíveis. A maioria das fundições terá a mesma entrada em ambas as colunas; no entanto, se o nome comum variar em relação ao nome padrão, a variação será indicada na coluna B. 
</t>
  </si>
  <si>
    <t>Forneça um e-mail válido para contato na célula D16 da guia Declaração</t>
  </si>
  <si>
    <t xml:space="preserve">Forneça um e-mail válido do representante autorizado da empresa na célula D20 da guia Declaração
</t>
  </si>
  <si>
    <t>Selecione o Escopo da Declaração da sua empresa. As opções são:
A. Empresa
B. Produto (ou Lista de produtos)
C. Definido pelo usuário</t>
  </si>
  <si>
    <t>Wählen Sie den Erklärungsumfang Ihres Unternehmens aus. Die Auswahlmöglichkeiten für den Umfang sind:
A. Unternehmen
B. Produkt (oder Produktliste)
C. Nutzerdefiniert</t>
  </si>
  <si>
    <t>Geben Sie eine gültige E-Mail-Adresse eines bevollmächtigten Unternehmensvertreters in der Reiterzelle D20 der Erklärung an</t>
  </si>
  <si>
    <t>Geben Sie eine gültige Kontakt-E-Mail-Adresse in der Reiterzelle D16 der Erklärung an</t>
  </si>
  <si>
    <t xml:space="preserve">Die folgende Liste beruht auf den neuesten Informationen der CFSI über Schmelzofennamen/Aliasnamen zum Zeitpunkt der Veröffentlichung dieser Vorlage. Diese Liste wird regelmäßig aktualisiert. Die aktuellste Version ist auf der CFSI-Website zu finden unter http://www.conflictfreesourcing.org/conflict-free-smelter-program/exports/cmrt-export/. Die Aufführung eines Schmelzofens in dieser Liste ist KEINE Garantie, dass dieser gegenwärtig aktiv ist oder das Programm für Konfliktfreie Schmelzöfen (Conflict-Free Smelter Program) einhält.
Auf der CFSI-Website können Sie unter www.conflictfreesourcing.org die aktuellste und genaueste Liste der Standardnamen aktiver bzw. konformer Schmelzöfen abrufen. 
Namen in Spalte B stellen allgemein bekannte Firmennamen dar, die der Lieferkette für den jeweiligen Schmelzofen gemeldet werden. Zu diesen Namen können frühere Firmennamen, alternative Namen, Abkürzungen oder sonstige Varianten zählen. Zwar sind diese Namen nicht unbedingt die CFSI-Standardschmelzofennamen, doch können anhand dieser Verweise Schmelzöfen identifiziert werden, die in der Spalte C der Schmelzofenreferenzliste angeführt werden.
Spalte C umfasst die offiziellen Standardschmelzofennamen, die als die rechtmäßigen Firmennamen der infrage kommenden Schmelzöfen gelten. Die Mehrheit von Schmelzöfen hat dieselbe Eintragung für beide Spalten. Wenn jedoch der übliche Name vom Standardnamen abweicht, wird die Abweichung in Spalte B vermerkt. 
</t>
  </si>
  <si>
    <t>1. Geben Sie hier den rechtmäßigen Firmennamen Ihres Unternehmens ein. Bitte verwenden Sie keine Abkürzungen. In diesem Feld haben Sie die Möglichkeit, weitere Geschäftsnamen, DBAs usw. hinzuzufügen.</t>
  </si>
  <si>
    <t>1. Ingrese la razón social de su compañía. No utilice abreviaturas. En este campo tiene la opción de agregar otros nombres comerciales, nombres alternos, etc.</t>
  </si>
  <si>
    <t xml:space="preserve">La siguiente lista representa la información de CFSI (Iniciativa de Suministro Sin Conflicto) actualizada del nombre/alias del último fundidor a partir de la publicación de la plantilla. Esta lista se actualiza con frecuencia, y la versión más reciente se encuentra en el sitio de CFSI http://www.conflictfreesourcing.org/conflict-free-smelter-program/exports/cmrt-export/. La presencia de un fundidor aquí NO es garantía de que actualmente esté activo o en cumplimiento con en el Programa de Fundidoras Sin Conflicto.
Refiérase al sitio web de CFSI: www.conflictfreesourcing.org para obtener una lista de nombres de fundidores estándar que están activos o en cumplimiento. 
Los nombres incluidos en la columna B representan nombres de compañías que son comúnmente reconocidas y reportadas por la cadena de suministros de un fundidor en particular. Dichos nombres pueden incluir los nombres anteriores de compañías, nombres alternos, abreviaturas u otras variaciones. Aun cuando los nombres pueden no ser los nombres CFSI estándar del fundidor, los nombres de referencia son útiles para identificar al fundidor, el cual está en la columna C en la Lista de Referencia de Fundidores.
La columna C es la lista de los nombres oficiales estándar de los fundidores, entiéndase como los nombres legales de los fundidores aplicables. La mayoría de los fundidores tendrán la misma entrada en ambas columnas; sin embargo, si el nombre común varía del nombre estándar, la variación se observa en la Columna B. 
</t>
  </si>
  <si>
    <t>Proporcione un correo electrónico válido del contacto en la pestaña Declaration (Declaración), celda D16</t>
  </si>
  <si>
    <t>Proporcione un correo electrónico válido del representante autorizado de la compañía en la pestaña Declaration (Declaración), celda D20</t>
  </si>
  <si>
    <t>Seleccione el Enfoque de la declaración de su compañía. Las opciones para el enfoque son:
A. Compañía
B. Producto (o lista de productos)
C. Definido por el usuario</t>
  </si>
  <si>
    <t>Selezionare il perimetro di dichiarazione dell’Azienda. Le opzioni per il perimetro sono:
A. Azienda
B. Prodotto (o lista dei prodotti)
C. Definito dall’utilizzatore/utente campi</t>
  </si>
  <si>
    <t>Fornire un’email valida del rappresentante della società autorizzata nella cella D20 della scheda della Dichiarazione</t>
  </si>
  <si>
    <t>Fornire un’email di contatto valida nella cella D16 della scheda della Dichiarazione</t>
  </si>
  <si>
    <t>La seguente lista riporta i dati più recenti relativamente a nomi/alias di CFSI a partire dalla pubblicazione di questo modello. La lista viene aggiornata spesso e la versione più aggiornata è disponibile sul sito web di CFSI //www.conflictfreesourcing.org/conflict-free-smelter-program/exports/cmrt-export/.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I nomi compresi nella colonna B rappresentano i nomi delle aziende che sono comunemente conosciute e segnalate dalla catena logistica per una fonderia specifica. Questi nomi possono includere i nomi di ex aziende, nomi alternativi, abbreviazioni o altre variazioni. Sebbene i nomi possano non essere i Nomi delle fonderie standard di CFSI, i nomi di riferimento sono utili all’identificazione della fonderia, che è elencata nella colonna C della Lista di riferimento fonderie.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t>
  </si>
  <si>
    <t>1. Inserire la denominazione legale dell’Azienda. Si prega di non utilizzare abbreviazioni. In questo campo è possibile aggiungere altri nomi commerciali, DBA, ecc.</t>
  </si>
  <si>
    <t>1. Şirketinizin Yasal Adını girin.  Lütfen kısaltma kullanmayın. Bu alanda diğer ticari adları, DBA’ları, vb. ekleme seçeneğine sahip olacaksınız.</t>
  </si>
  <si>
    <t xml:space="preserve">Aşağıdaki liste, CFSI’nin şablonun yayın tarihi itibariyle en güncel izabe tesisi adı/rumuz bilgilerini içermektedir. Bu liste sık sık güncellenmektedir ve listenin en güncel sürümü http://www.conflictfreesourcing.org/conflict-free-smelter-program/exports/cmrt-export/ adresindeki CFSI web sitesinden bulunabilir.  Bir izabe tesisinin bu listede yer alması, mevcut durumda Aktif olduğu ya da İhtilafsız İzabe Tesisi Programına Uyumlu olduğu anlamına gelmez.
Aktif veya Uyumlu standart izabe tesisi adlarının en güncel ve en doğru listesi için lütfen CFSI web sitesine başvurun: www.conflictfreesourcing.org. 
B sütunu, belirli bir izabe tesisi için tedarik zinciri tarafından sıklıkla tanınan ve bildirilen izabe tesislerinin adların listesini içerir. Bu adlar, eski şirket adları, alternatif adlar, kısaltmalar veya diğer değişik biçimleri kapsayabilir. Her ne kadar adlar CFSI Standart İzabe Tesisi adı aynı olmasa da İzabe Tesisi Referans Listesinde verilen referans adlar izabe tesisinin tanımlanması için faydalı olacaktır.
C sütunu, uygun izabe tesisleri için yasal adlar olduğu anlaşılan, resmi standart izabe tesisi adlarının listesini içerir. İzabe tesislerinin büyük bir çoğunluğunda her iki sütunda da aynı değer görülecektir ancak genel adın standart addan farklı olduğu durumlar B sütununda belirtilmektedir. </t>
  </si>
  <si>
    <t>İrtibat kişisi için geçerli bir e-posta adresini Beyan sekmesi hücre D16’da belirtin.</t>
  </si>
  <si>
    <t>Beyan sekmesinde, hücre D20’e yetkili şirket temsilcisi için geçerli bir e-posta adresi ekleyin.</t>
  </si>
  <si>
    <r>
      <rPr>
        <sz val="11"/>
        <color indexed="8"/>
        <rFont val="Verdana"/>
        <family val="2"/>
      </rPr>
      <t>Şirketinizin Beyan Kapsamını seçin. Kapsam seçenekleri aşağıdaki gibidir:
A. Şirket
B. Ürün (veya Ürün Listesi)
C. Kullanıcı Tanımlı</t>
    </r>
    <r>
      <rPr>
        <sz val="11"/>
        <rFont val="Verdana"/>
        <family val="2"/>
      </rPr>
      <t xml:space="preserve">
</t>
    </r>
  </si>
  <si>
    <t>Gejiu City Datun Chengfeng Smelter</t>
  </si>
  <si>
    <t>Qiaokou</t>
  </si>
  <si>
    <t>Penglai</t>
  </si>
  <si>
    <t>HwaSeong CJ Co., Ltd.</t>
  </si>
  <si>
    <t xml:space="preserve">1. Corrections to all bugs and errors
2. Enhancements which do not conflict with IPC-1755
a. Additions and clarifications in the instructions and definitions
b. Update to ISO short names for countries
3. Translation improvements
4. Updates to the Smelter Reference List and Standard Smelter List
</t>
  </si>
  <si>
    <t>Yunnan Gejiu Zili Metallurgy Co., Ltd.</t>
  </si>
  <si>
    <t>Matrix Oribtal</t>
  </si>
  <si>
    <t>4774 Westwinds Drive NE, Suite 602, Calgary, Alberta, Canada, T3J 0L7</t>
  </si>
  <si>
    <t>Brian Ingwersen</t>
  </si>
  <si>
    <t>bingwersen@matrixorbital.ca</t>
  </si>
  <si>
    <t>403-229-2737</t>
  </si>
  <si>
    <t>http://www.matrixorbital.ca/ConflictMinerals/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</si>
</sst>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409]d\-mmm\-yyyy;@"/>
    <numFmt numFmtId="166" formatCode="0.0"/>
  </numFmts>
  <fonts count="128">
    <font>
      <sz val="10"/>
      <name val="Verdana"/>
      <family val="2"/>
    </font>
    <font>
      <sz val="11"/>
      <color theme="1"/>
      <name val="Calibri"/>
      <family val="2"/>
      <scheme val="minor"/>
    </font>
    <font>
      <sz val="11"/>
      <color theme="1"/>
      <name val="Calibri"/>
      <family val="2"/>
      <scheme val="minor"/>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u/>
      <sz val="10"/>
      <color indexed="12"/>
      <name val="Verdana"/>
      <family val="2"/>
    </font>
    <font>
      <sz val="8"/>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0"/>
      <color indexed="8"/>
      <name val="Verdana"/>
      <family val="2"/>
    </font>
    <font>
      <sz val="11"/>
      <color indexed="8"/>
      <name val="Verdana"/>
      <family val="2"/>
    </font>
    <font>
      <b/>
      <sz val="11"/>
      <color indexed="8"/>
      <name val="Verdana"/>
      <family val="2"/>
    </font>
    <font>
      <b/>
      <sz val="10"/>
      <color indexed="8"/>
      <name val="Verdana"/>
      <family val="2"/>
    </font>
    <font>
      <sz val="10"/>
      <color indexed="81"/>
      <name val="Tahoma"/>
      <family val="2"/>
    </font>
    <font>
      <sz val="11"/>
      <name val="Batang"/>
      <family val="1"/>
    </font>
    <font>
      <sz val="11"/>
      <color indexed="8"/>
      <name val="Calibri"/>
      <family val="2"/>
    </font>
    <font>
      <sz val="11"/>
      <color indexed="8"/>
      <name val="SimSun-ExtB"/>
      <family val="3"/>
    </font>
    <font>
      <sz val="11"/>
      <color theme="1"/>
      <name val="Calibri"/>
      <family val="2"/>
      <scheme val="minor"/>
    </font>
    <font>
      <sz val="11"/>
      <color theme="0"/>
      <name val="Calibri"/>
      <family val="2"/>
      <scheme val="minor"/>
    </font>
    <font>
      <sz val="11"/>
      <color rgb="FF9C0006"/>
      <name val="ＭＳ Ｐゴシック"/>
      <family val="3"/>
      <charset val="128"/>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1"/>
      <color theme="10"/>
      <name val="Calibri"/>
      <family val="2"/>
      <scheme val="minor"/>
    </font>
    <font>
      <u/>
      <sz val="12"/>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0"/>
      <color theme="1"/>
      <name val="ＭＳ Ｐゴシック"/>
      <family val="2"/>
      <charset val="128"/>
    </font>
    <font>
      <sz val="11"/>
      <color theme="1"/>
      <name val="ＭＳ Ｐゴシック"/>
      <family val="3"/>
      <charset val="128"/>
    </font>
    <font>
      <sz val="12"/>
      <color theme="1"/>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0"/>
      <name val="Calibri"/>
      <family val="3"/>
      <charset val="128"/>
      <scheme val="minor"/>
    </font>
    <font>
      <sz val="10"/>
      <color theme="1"/>
      <name val="Verdana"/>
      <family val="2"/>
    </font>
    <font>
      <sz val="10"/>
      <color theme="0" tint="-0.34998626667073579"/>
      <name val="Verdana"/>
      <family val="2"/>
    </font>
    <font>
      <sz val="11"/>
      <color rgb="FF000000"/>
      <name val="Verdana"/>
      <family val="2"/>
    </font>
    <font>
      <sz val="8"/>
      <color theme="1"/>
      <name val="Verdana"/>
      <family val="2"/>
    </font>
    <font>
      <sz val="11"/>
      <color rgb="FF000000"/>
      <name val="Calibri"/>
      <family val="2"/>
    </font>
    <font>
      <sz val="11"/>
      <color rgb="FF000000"/>
      <name val="SimSun-ExtB"/>
      <family val="3"/>
    </font>
    <font>
      <sz val="12"/>
      <name val="Cambria"/>
      <family val="1"/>
      <scheme val="major"/>
    </font>
    <font>
      <u/>
      <sz val="12"/>
      <color indexed="12"/>
      <name val="Cambria"/>
      <family val="1"/>
      <scheme val="major"/>
    </font>
    <font>
      <u/>
      <sz val="10"/>
      <color indexed="12"/>
      <name val="Cambria"/>
      <family val="1"/>
      <scheme val="major"/>
    </font>
    <font>
      <sz val="10"/>
      <name val="Cambria"/>
      <family val="1"/>
      <scheme val="major"/>
    </font>
    <font>
      <u/>
      <sz val="11"/>
      <color theme="10"/>
      <name val="Calibri"/>
      <family val="3"/>
      <charset val="128"/>
      <scheme val="minor"/>
    </font>
    <font>
      <u/>
      <sz val="12"/>
      <color theme="10"/>
      <name val="Calibri"/>
      <family val="3"/>
      <charset val="128"/>
      <scheme val="minor"/>
    </font>
    <font>
      <sz val="11"/>
      <color theme="1"/>
      <name val="Calibri"/>
      <family val="3"/>
      <charset val="128"/>
      <scheme val="minor"/>
    </font>
    <font>
      <sz val="10"/>
      <color theme="1"/>
      <name val="ＭＳ Ｐゴシック"/>
      <family val="3"/>
      <charset val="128"/>
    </font>
    <font>
      <sz val="12"/>
      <color theme="1"/>
      <name val="Calibri"/>
      <family val="3"/>
      <charset val="128"/>
      <scheme val="minor"/>
    </font>
    <font>
      <sz val="11"/>
      <color rgb="FF9C0006"/>
      <name val="ＭＳ Ｐゴシック"/>
      <family val="2"/>
      <charset val="128"/>
    </font>
    <font>
      <u/>
      <sz val="11"/>
      <color theme="10"/>
      <name val="Calibri"/>
      <family val="3"/>
      <charset val="129"/>
      <scheme val="minor"/>
    </font>
    <font>
      <u/>
      <sz val="12"/>
      <color theme="10"/>
      <name val="Calibri"/>
      <family val="3"/>
      <charset val="129"/>
      <scheme val="minor"/>
    </font>
    <font>
      <sz val="11"/>
      <color theme="1"/>
      <name val="Calibri"/>
      <family val="3"/>
      <charset val="129"/>
      <scheme val="minor"/>
    </font>
    <font>
      <sz val="11"/>
      <color theme="1"/>
      <name val="ＭＳ Ｐゴシック"/>
      <family val="2"/>
      <charset val="128"/>
    </font>
    <font>
      <sz val="12"/>
      <color theme="1"/>
      <name val="Calibri"/>
      <family val="3"/>
      <charset val="129"/>
      <scheme val="minor"/>
    </font>
    <font>
      <u/>
      <sz val="11"/>
      <color theme="10"/>
      <name val="Calibri"/>
      <family val="1"/>
      <charset val="136"/>
      <scheme val="minor"/>
    </font>
    <font>
      <u/>
      <sz val="12"/>
      <color theme="10"/>
      <name val="Calibri"/>
      <family val="1"/>
      <charset val="136"/>
      <scheme val="minor"/>
    </font>
    <font>
      <sz val="11"/>
      <color theme="1"/>
      <name val="Calibri"/>
      <family val="1"/>
      <charset val="136"/>
      <scheme val="minor"/>
    </font>
    <font>
      <sz val="12"/>
      <color theme="1"/>
      <name val="Calibri"/>
      <family val="1"/>
      <charset val="136"/>
      <scheme val="minor"/>
    </font>
  </fonts>
  <fills count="3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7">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n">
        <color indexed="56"/>
      </top>
      <bottom style="thick">
        <color indexed="56"/>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17">
    <xf numFmtId="0" fontId="0" fillId="0" borderId="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77" fillId="14" borderId="0" applyNumberFormat="0" applyBorder="0" applyAlignment="0" applyProtection="0"/>
    <xf numFmtId="0" fontId="77" fillId="15" borderId="0" applyNumberFormat="0" applyBorder="0" applyAlignment="0" applyProtection="0"/>
    <xf numFmtId="0" fontId="77"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9"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8" borderId="0" applyNumberFormat="0" applyBorder="0" applyAlignment="0" applyProtection="0"/>
    <xf numFmtId="0" fontId="79" fillId="29" borderId="0" applyNumberFormat="0" applyBorder="0" applyAlignment="0" applyProtection="0"/>
    <xf numFmtId="0" fontId="80" fillId="29" borderId="0" applyNumberFormat="0" applyBorder="0" applyAlignment="0" applyProtection="0"/>
    <xf numFmtId="0" fontId="81" fillId="30" borderId="58" applyNumberFormat="0" applyAlignment="0" applyProtection="0"/>
    <xf numFmtId="0" fontId="82" fillId="31" borderId="59" applyNumberFormat="0" applyAlignment="0" applyProtection="0"/>
    <xf numFmtId="164" fontId="8" fillId="0" borderId="0"/>
    <xf numFmtId="0" fontId="83" fillId="0" borderId="0" applyNumberFormat="0" applyFill="0" applyBorder="0" applyAlignment="0" applyProtection="0"/>
    <xf numFmtId="0" fontId="84" fillId="32" borderId="0" applyNumberFormat="0" applyBorder="0" applyAlignment="0" applyProtection="0"/>
    <xf numFmtId="0" fontId="85" fillId="0" borderId="60" applyNumberFormat="0" applyFill="0" applyAlignment="0" applyProtection="0"/>
    <xf numFmtId="0" fontId="86" fillId="0" borderId="61" applyNumberFormat="0" applyFill="0" applyAlignment="0" applyProtection="0"/>
    <xf numFmtId="0" fontId="87" fillId="0" borderId="62" applyNumberFormat="0" applyFill="0" applyAlignment="0" applyProtection="0"/>
    <xf numFmtId="0" fontId="87" fillId="0" borderId="0" applyNumberFormat="0" applyFill="0" applyBorder="0" applyAlignment="0" applyProtection="0"/>
    <xf numFmtId="0" fontId="9" fillId="0" borderId="0" applyNumberFormat="0" applyFill="0" applyBorder="0" applyAlignment="0" applyProtection="0">
      <alignment vertical="top"/>
      <protection locked="0"/>
    </xf>
    <xf numFmtId="164" fontId="88" fillId="0" borderId="0" applyNumberFormat="0" applyFill="0" applyBorder="0" applyAlignment="0" applyProtection="0"/>
    <xf numFmtId="0" fontId="89" fillId="0" borderId="0" applyNumberFormat="0" applyFill="0" applyBorder="0" applyAlignment="0" applyProtection="0"/>
    <xf numFmtId="164" fontId="88" fillId="0" borderId="0" applyNumberFormat="0" applyFill="0" applyBorder="0" applyAlignment="0" applyProtection="0">
      <alignment vertical="top"/>
      <protection locked="0"/>
    </xf>
    <xf numFmtId="164" fontId="88" fillId="0" borderId="0" applyNumberFormat="0" applyFill="0" applyBorder="0" applyAlignment="0" applyProtection="0">
      <alignment vertical="top"/>
      <protection locked="0"/>
    </xf>
    <xf numFmtId="0" fontId="90" fillId="0" borderId="0" applyNumberFormat="0" applyFill="0" applyBorder="0" applyAlignment="0" applyProtection="0"/>
    <xf numFmtId="0" fontId="9" fillId="0" borderId="0" applyNumberFormat="0" applyFill="0" applyBorder="0" applyAlignment="0" applyProtection="0">
      <alignment vertical="top"/>
      <protection locked="0"/>
    </xf>
    <xf numFmtId="164" fontId="88" fillId="0" borderId="0" applyNumberFormat="0" applyFill="0" applyBorder="0" applyAlignment="0" applyProtection="0">
      <alignment vertical="top"/>
      <protection locked="0"/>
    </xf>
    <xf numFmtId="0" fontId="91" fillId="33" borderId="58" applyNumberFormat="0" applyAlignment="0" applyProtection="0"/>
    <xf numFmtId="0" fontId="92" fillId="0" borderId="63" applyNumberFormat="0" applyFill="0" applyAlignment="0" applyProtection="0"/>
    <xf numFmtId="0" fontId="93" fillId="34" borderId="0" applyNumberFormat="0" applyBorder="0" applyAlignment="0" applyProtection="0"/>
    <xf numFmtId="164" fontId="94" fillId="0" borderId="0"/>
    <xf numFmtId="0" fontId="8" fillId="0" borderId="0"/>
    <xf numFmtId="0" fontId="8" fillId="0" borderId="0"/>
    <xf numFmtId="164" fontId="9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4" fillId="0" borderId="0"/>
    <xf numFmtId="0" fontId="94" fillId="0" borderId="0"/>
    <xf numFmtId="0" fontId="94" fillId="0" borderId="0"/>
    <xf numFmtId="164" fontId="94" fillId="0" borderId="0"/>
    <xf numFmtId="0" fontId="7" fillId="0" borderId="0"/>
    <xf numFmtId="164" fontId="8" fillId="0" borderId="0"/>
    <xf numFmtId="0" fontId="77" fillId="0" borderId="0"/>
    <xf numFmtId="0" fontId="77" fillId="0" borderId="0"/>
    <xf numFmtId="164" fontId="7" fillId="0" borderId="0"/>
    <xf numFmtId="0" fontId="77" fillId="0" borderId="0"/>
    <xf numFmtId="0" fontId="7" fillId="0" borderId="0"/>
    <xf numFmtId="0" fontId="77" fillId="0" borderId="0"/>
    <xf numFmtId="0" fontId="95" fillId="0" borderId="0">
      <alignment vertical="center"/>
    </xf>
    <xf numFmtId="164" fontId="94" fillId="0" borderId="0"/>
    <xf numFmtId="0" fontId="96" fillId="0" borderId="0"/>
    <xf numFmtId="0" fontId="77" fillId="0" borderId="0"/>
    <xf numFmtId="0" fontId="8" fillId="0" borderId="0"/>
    <xf numFmtId="0" fontId="96" fillId="0" borderId="0"/>
    <xf numFmtId="0" fontId="77" fillId="0" borderId="0"/>
    <xf numFmtId="0" fontId="77" fillId="0" borderId="0"/>
    <xf numFmtId="0" fontId="77" fillId="0" borderId="0"/>
    <xf numFmtId="0" fontId="77" fillId="0" borderId="0"/>
    <xf numFmtId="0" fontId="77" fillId="0" borderId="0"/>
    <xf numFmtId="0" fontId="8" fillId="0" borderId="0"/>
    <xf numFmtId="0" fontId="77"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6" fillId="0" borderId="0"/>
    <xf numFmtId="0" fontId="96"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77" fillId="0" borderId="0"/>
    <xf numFmtId="164" fontId="94" fillId="0" borderId="0"/>
    <xf numFmtId="164" fontId="94" fillId="0" borderId="0"/>
    <xf numFmtId="0" fontId="97" fillId="0" borderId="0"/>
    <xf numFmtId="0" fontId="12" fillId="0" borderId="0"/>
    <xf numFmtId="0" fontId="77" fillId="35" borderId="64" applyNumberFormat="0" applyFont="0" applyAlignment="0" applyProtection="0"/>
    <xf numFmtId="0" fontId="98" fillId="30" borderId="65" applyNumberFormat="0" applyAlignment="0" applyProtection="0"/>
    <xf numFmtId="0" fontId="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4" fillId="0" borderId="0"/>
    <xf numFmtId="0" fontId="99" fillId="0" borderId="0" applyNumberFormat="0" applyFill="0" applyBorder="0" applyAlignment="0" applyProtection="0"/>
    <xf numFmtId="0" fontId="100" fillId="0" borderId="66" applyNumberFormat="0" applyFill="0" applyAlignment="0" applyProtection="0"/>
    <xf numFmtId="0" fontId="101" fillId="0" borderId="0" applyNumberFormat="0" applyFill="0" applyBorder="0" applyAlignment="0" applyProtection="0"/>
    <xf numFmtId="164" fontId="12" fillId="0" borderId="0"/>
    <xf numFmtId="0" fontId="8" fillId="0" borderId="0"/>
    <xf numFmtId="0" fontId="8" fillId="0" borderId="0"/>
    <xf numFmtId="0" fontId="8" fillId="0" borderId="0"/>
    <xf numFmtId="164" fontId="8" fillId="0" borderId="0"/>
    <xf numFmtId="0" fontId="12" fillId="0" borderId="0"/>
    <xf numFmtId="0" fontId="113" fillId="0" borderId="0" applyNumberFormat="0" applyFill="0" applyBorder="0" applyAlignment="0" applyProtection="0"/>
    <xf numFmtId="0" fontId="114" fillId="0" borderId="0" applyNumberForma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6" fillId="0" borderId="0">
      <alignment vertical="center"/>
    </xf>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29" borderId="0" applyNumberFormat="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1"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1" fillId="0" borderId="0"/>
    <xf numFmtId="0" fontId="121" fillId="0" borderId="0"/>
    <xf numFmtId="0" fontId="121" fillId="0" borderId="0"/>
    <xf numFmtId="0" fontId="12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8" fillId="0" borderId="0"/>
    <xf numFmtId="0" fontId="8" fillId="0" borderId="0"/>
    <xf numFmtId="0" fontId="8" fillId="0" borderId="0"/>
    <xf numFmtId="0" fontId="8" fillId="0" borderId="0"/>
    <xf numFmtId="0" fontId="8"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4" fillId="0" borderId="0" applyNumberFormat="0" applyFill="0" applyBorder="0" applyAlignment="0" applyProtection="0"/>
    <xf numFmtId="0" fontId="125" fillId="0" borderId="0" applyNumberFormat="0" applyFill="0" applyBorder="0" applyAlignment="0" applyProtection="0"/>
    <xf numFmtId="0" fontId="1" fillId="0" borderId="0"/>
    <xf numFmtId="0" fontId="1" fillId="0" borderId="0"/>
    <xf numFmtId="0" fontId="1" fillId="0" borderId="0"/>
    <xf numFmtId="0" fontId="1" fillId="0" borderId="0"/>
    <xf numFmtId="0" fontId="126" fillId="0" borderId="0"/>
    <xf numFmtId="0" fontId="126" fillId="0" borderId="0"/>
    <xf numFmtId="0" fontId="1" fillId="0" borderId="0"/>
    <xf numFmtId="0" fontId="126" fillId="0" borderId="0"/>
    <xf numFmtId="0" fontId="126" fillId="0" borderId="0"/>
    <xf numFmtId="0" fontId="1" fillId="0" borderId="0"/>
    <xf numFmtId="0" fontId="1" fillId="0" borderId="0"/>
    <xf numFmtId="0" fontId="126" fillId="0" borderId="0"/>
    <xf numFmtId="0" fontId="126" fillId="0" borderId="0"/>
    <xf numFmtId="0" fontId="1" fillId="0" borderId="0"/>
    <xf numFmtId="0" fontId="126" fillId="0" borderId="0"/>
    <xf numFmtId="0" fontId="126" fillId="0" borderId="0"/>
    <xf numFmtId="0" fontId="1" fillId="0" borderId="0"/>
    <xf numFmtId="0" fontId="126" fillId="0" borderId="0"/>
    <xf numFmtId="0" fontId="1" fillId="0" borderId="0"/>
    <xf numFmtId="0" fontId="126" fillId="0" borderId="0"/>
    <xf numFmtId="0" fontId="1" fillId="0" borderId="0"/>
    <xf numFmtId="0" fontId="126" fillId="0" borderId="0"/>
    <xf numFmtId="0" fontId="1" fillId="0" borderId="0"/>
    <xf numFmtId="0" fontId="126" fillId="0" borderId="0"/>
    <xf numFmtId="0" fontId="1" fillId="0" borderId="0"/>
    <xf numFmtId="0" fontId="126" fillId="0" borderId="0"/>
    <xf numFmtId="0" fontId="1" fillId="0" borderId="0"/>
    <xf numFmtId="0" fontId="126" fillId="0" borderId="0"/>
    <xf numFmtId="0" fontId="1" fillId="0" borderId="0"/>
    <xf numFmtId="0" fontId="1" fillId="0" borderId="0"/>
    <xf numFmtId="0" fontId="1" fillId="0" borderId="0"/>
    <xf numFmtId="0" fontId="126" fillId="0" borderId="0"/>
    <xf numFmtId="0" fontId="126" fillId="0" borderId="0"/>
    <xf numFmtId="0" fontId="1" fillId="0" borderId="0"/>
    <xf numFmtId="0" fontId="126" fillId="0" borderId="0"/>
    <xf numFmtId="0" fontId="126" fillId="0" borderId="0"/>
    <xf numFmtId="0" fontId="1" fillId="0" borderId="0"/>
    <xf numFmtId="0" fontId="126" fillId="0" borderId="0"/>
    <xf numFmtId="0" fontId="1" fillId="0" borderId="0"/>
    <xf numFmtId="0" fontId="126" fillId="0" borderId="0"/>
    <xf numFmtId="0" fontId="1" fillId="0" borderId="0"/>
    <xf numFmtId="0" fontId="126" fillId="0" borderId="0"/>
    <xf numFmtId="0" fontId="1" fillId="0" borderId="0"/>
    <xf numFmtId="0" fontId="1" fillId="0" borderId="0"/>
    <xf numFmtId="0" fontId="126" fillId="0" borderId="0"/>
    <xf numFmtId="0" fontId="126" fillId="0" borderId="0"/>
    <xf numFmtId="0" fontId="127" fillId="0" borderId="0"/>
    <xf numFmtId="0" fontId="1" fillId="0" borderId="0"/>
    <xf numFmtId="0" fontId="1" fillId="0" borderId="0"/>
    <xf numFmtId="0" fontId="1" fillId="0" borderId="0"/>
    <xf numFmtId="0" fontId="1" fillId="0" borderId="0"/>
    <xf numFmtId="0" fontId="126" fillId="0" borderId="0"/>
    <xf numFmtId="0" fontId="126" fillId="0" borderId="0"/>
    <xf numFmtId="0" fontId="1" fillId="0" borderId="0"/>
    <xf numFmtId="0" fontId="126" fillId="0" borderId="0"/>
    <xf numFmtId="0" fontId="126" fillId="0" borderId="0"/>
    <xf numFmtId="0" fontId="1" fillId="0" borderId="0"/>
    <xf numFmtId="0" fontId="1" fillId="0" borderId="0"/>
    <xf numFmtId="0" fontId="126" fillId="0" borderId="0"/>
    <xf numFmtId="0" fontId="126" fillId="0" borderId="0"/>
    <xf numFmtId="0" fontId="1" fillId="0" borderId="0"/>
    <xf numFmtId="0" fontId="126" fillId="0" borderId="0"/>
    <xf numFmtId="0" fontId="126" fillId="0" borderId="0"/>
  </cellStyleXfs>
  <cellXfs count="402">
    <xf numFmtId="0" fontId="0" fillId="0" borderId="0" xfId="0"/>
    <xf numFmtId="0" fontId="17" fillId="2" borderId="1" xfId="0" applyFont="1" applyFill="1" applyBorder="1" applyAlignment="1" applyProtection="1">
      <alignment horizontal="center" vertical="center"/>
    </xf>
    <xf numFmtId="0" fontId="28" fillId="2" borderId="2" xfId="115" applyFont="1" applyFill="1" applyBorder="1" applyAlignment="1">
      <alignment horizontal="center" vertical="top" wrapText="1"/>
    </xf>
    <xf numFmtId="0" fontId="0" fillId="2" borderId="0" xfId="0" applyFill="1"/>
    <xf numFmtId="0" fontId="13" fillId="2" borderId="0" xfId="0" applyFont="1" applyFill="1" applyBorder="1" applyAlignment="1">
      <alignment horizontal="center" vertical="center"/>
    </xf>
    <xf numFmtId="0" fontId="8" fillId="2" borderId="0" xfId="0" applyFont="1" applyFill="1" applyBorder="1"/>
    <xf numFmtId="0" fontId="11" fillId="2" borderId="0" xfId="0" applyFont="1" applyFill="1" applyBorder="1"/>
    <xf numFmtId="0" fontId="16"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3" fillId="2" borderId="0" xfId="0" applyFont="1" applyFill="1" applyBorder="1" applyAlignment="1" applyProtection="1">
      <alignment vertical="center"/>
    </xf>
    <xf numFmtId="0" fontId="19" fillId="2" borderId="0" xfId="0" applyFont="1" applyFill="1" applyBorder="1" applyAlignment="1" applyProtection="1">
      <alignment horizontal="left" wrapText="1"/>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0" fillId="2" borderId="0" xfId="0" applyFill="1" applyAlignment="1" applyProtection="1">
      <alignment vertical="top"/>
    </xf>
    <xf numFmtId="0" fontId="11" fillId="2" borderId="0" xfId="0" applyFont="1" applyFill="1" applyBorder="1" applyProtection="1">
      <protection hidden="1"/>
    </xf>
    <xf numFmtId="0" fontId="13" fillId="2" borderId="0" xfId="0" applyFont="1" applyFill="1" applyBorder="1" applyAlignment="1" applyProtection="1">
      <alignment horizontal="center" vertical="top"/>
      <protection hidden="1"/>
    </xf>
    <xf numFmtId="0" fontId="13" fillId="2" borderId="0" xfId="0" applyFont="1" applyFill="1" applyBorder="1" applyAlignment="1" applyProtection="1">
      <alignment vertical="center"/>
      <protection hidden="1"/>
    </xf>
    <xf numFmtId="0" fontId="17" fillId="2" borderId="0" xfId="0" applyFont="1" applyFill="1" applyBorder="1" applyAlignment="1" applyProtection="1">
      <alignment horizontal="left" wrapText="1"/>
      <protection hidden="1"/>
    </xf>
    <xf numFmtId="0" fontId="0" fillId="0" borderId="0" xfId="0" applyProtection="1">
      <protection hidden="1"/>
    </xf>
    <xf numFmtId="0" fontId="8" fillId="2" borderId="0" xfId="0" applyFont="1" applyFill="1" applyProtection="1"/>
    <xf numFmtId="0" fontId="8"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6" fillId="2" borderId="0" xfId="0" applyFont="1" applyFill="1" applyBorder="1" applyAlignment="1" applyProtection="1">
      <alignment horizontal="right" vertical="center"/>
      <protection hidden="1"/>
    </xf>
    <xf numFmtId="0" fontId="0" fillId="0" borderId="0" xfId="0" applyAlignment="1"/>
    <xf numFmtId="0" fontId="13" fillId="2" borderId="6" xfId="0" applyFont="1" applyFill="1" applyBorder="1" applyAlignment="1" applyProtection="1">
      <alignment vertical="center" wrapText="1"/>
      <protection hidden="1"/>
    </xf>
    <xf numFmtId="0" fontId="13" fillId="2" borderId="7" xfId="0" applyFont="1" applyFill="1" applyBorder="1" applyAlignment="1" applyProtection="1">
      <alignment vertical="center" wrapText="1"/>
      <protection hidden="1"/>
    </xf>
    <xf numFmtId="0" fontId="13" fillId="2" borderId="8" xfId="0" applyFont="1" applyFill="1" applyBorder="1" applyAlignment="1" applyProtection="1">
      <alignment vertical="center" wrapText="1"/>
      <protection hidden="1"/>
    </xf>
    <xf numFmtId="0" fontId="13"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8" fillId="2" borderId="9" xfId="115" applyFont="1" applyFill="1" applyBorder="1" applyAlignment="1">
      <alignment vertical="top" wrapText="1"/>
    </xf>
    <xf numFmtId="0" fontId="11" fillId="2" borderId="0" xfId="0" applyFont="1" applyFill="1" applyBorder="1" applyAlignment="1"/>
    <xf numFmtId="164" fontId="28" fillId="2" borderId="9" xfId="115" applyNumberFormat="1" applyFont="1" applyFill="1" applyBorder="1" applyAlignment="1">
      <alignment horizontal="center" vertical="top" wrapText="1"/>
    </xf>
    <xf numFmtId="0" fontId="13" fillId="2" borderId="0" xfId="0" applyFont="1" applyFill="1" applyBorder="1" applyAlignment="1">
      <alignment horizontal="left"/>
    </xf>
    <xf numFmtId="0" fontId="16" fillId="2" borderId="0" xfId="0" applyFont="1" applyFill="1" applyBorder="1" applyAlignment="1">
      <alignment horizontal="left"/>
    </xf>
    <xf numFmtId="0" fontId="41" fillId="2" borderId="10" xfId="115" applyFont="1" applyFill="1" applyBorder="1" applyAlignment="1">
      <alignment horizontal="center" vertical="center" wrapText="1"/>
    </xf>
    <xf numFmtId="0" fontId="41" fillId="2" borderId="11" xfId="115" applyFont="1" applyFill="1" applyBorder="1" applyAlignment="1">
      <alignment horizontal="center" vertical="center" wrapText="1"/>
    </xf>
    <xf numFmtId="0" fontId="0" fillId="2" borderId="10" xfId="0" applyFill="1" applyBorder="1" applyProtection="1"/>
    <xf numFmtId="0" fontId="6" fillId="0" borderId="0" xfId="0" applyFont="1" applyFill="1"/>
    <xf numFmtId="0" fontId="6"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3" fillId="2" borderId="12" xfId="0" applyFont="1" applyFill="1" applyBorder="1" applyAlignment="1" applyProtection="1">
      <alignment vertical="center"/>
    </xf>
    <xf numFmtId="0" fontId="3" fillId="2" borderId="7" xfId="0" applyFont="1" applyFill="1" applyBorder="1" applyAlignment="1" applyProtection="1">
      <alignment vertical="center"/>
    </xf>
    <xf numFmtId="0" fontId="20" fillId="2" borderId="13" xfId="0" applyFont="1" applyFill="1" applyBorder="1" applyAlignment="1" applyProtection="1">
      <alignment horizontal="center" vertical="center"/>
      <protection locked="0" hidden="1"/>
    </xf>
    <xf numFmtId="0" fontId="13" fillId="2" borderId="14" xfId="0" applyFont="1" applyFill="1" applyBorder="1" applyAlignment="1" applyProtection="1">
      <alignment vertical="center"/>
    </xf>
    <xf numFmtId="0" fontId="3" fillId="2" borderId="15" xfId="0" applyFont="1" applyFill="1" applyBorder="1" applyAlignment="1" applyProtection="1">
      <alignment vertical="center"/>
    </xf>
    <xf numFmtId="0" fontId="16" fillId="2" borderId="13" xfId="0" applyFont="1" applyFill="1" applyBorder="1" applyAlignment="1" applyProtection="1">
      <alignment horizontal="right" vertical="center"/>
      <protection hidden="1"/>
    </xf>
    <xf numFmtId="0" fontId="13" fillId="2" borderId="6" xfId="0" applyFont="1" applyFill="1" applyBorder="1" applyAlignment="1" applyProtection="1">
      <alignment vertical="center"/>
    </xf>
    <xf numFmtId="0" fontId="1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16" fillId="2" borderId="18" xfId="0" applyFont="1" applyFill="1" applyBorder="1" applyAlignment="1" applyProtection="1">
      <alignment wrapText="1"/>
      <protection hidden="1"/>
    </xf>
    <xf numFmtId="0" fontId="0" fillId="3" borderId="10" xfId="0" applyFill="1" applyBorder="1" applyProtection="1"/>
    <xf numFmtId="0" fontId="16" fillId="2" borderId="19"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3" fillId="2" borderId="20" xfId="0" applyFont="1" applyFill="1" applyBorder="1" applyAlignment="1" applyProtection="1">
      <alignment vertical="center"/>
    </xf>
    <xf numFmtId="0" fontId="35" fillId="2" borderId="18" xfId="0" applyFont="1" applyFill="1" applyBorder="1" applyAlignment="1" applyProtection="1">
      <alignment vertical="center"/>
    </xf>
    <xf numFmtId="0" fontId="13" fillId="2" borderId="21" xfId="0" applyFont="1" applyFill="1" applyBorder="1" applyAlignment="1" applyProtection="1">
      <alignment vertical="center"/>
    </xf>
    <xf numFmtId="2" fontId="16" fillId="2" borderId="1" xfId="0" applyNumberFormat="1" applyFont="1" applyFill="1" applyBorder="1" applyAlignment="1" applyProtection="1">
      <alignment horizontal="left" wrapText="1"/>
      <protection hidden="1"/>
    </xf>
    <xf numFmtId="0" fontId="16" fillId="2" borderId="19" xfId="0" applyFont="1" applyFill="1" applyBorder="1" applyAlignment="1" applyProtection="1">
      <alignment horizontal="left"/>
      <protection hidden="1"/>
    </xf>
    <xf numFmtId="0" fontId="17" fillId="2" borderId="1" xfId="0" applyFont="1" applyFill="1" applyBorder="1" applyAlignment="1" applyProtection="1">
      <alignment horizontal="left" vertical="center"/>
    </xf>
    <xf numFmtId="0" fontId="3" fillId="2" borderId="22" xfId="0" applyFont="1" applyFill="1" applyBorder="1" applyAlignment="1" applyProtection="1">
      <alignment vertical="center"/>
    </xf>
    <xf numFmtId="0" fontId="17" fillId="2" borderId="13" xfId="0" applyFont="1" applyFill="1" applyBorder="1" applyAlignment="1" applyProtection="1">
      <alignment vertical="center" wrapText="1"/>
      <protection hidden="1"/>
    </xf>
    <xf numFmtId="0" fontId="17" fillId="2" borderId="12" xfId="0" applyFont="1" applyFill="1" applyBorder="1" applyAlignment="1" applyProtection="1">
      <alignment vertical="center"/>
    </xf>
    <xf numFmtId="0" fontId="17" fillId="2" borderId="1" xfId="0" applyFont="1" applyFill="1" applyBorder="1" applyAlignment="1" applyProtection="1">
      <alignment vertical="center" wrapText="1"/>
      <protection hidden="1"/>
    </xf>
    <xf numFmtId="2" fontId="18" fillId="2" borderId="1" xfId="0" applyNumberFormat="1" applyFont="1" applyFill="1" applyBorder="1" applyAlignment="1" applyProtection="1">
      <alignment horizontal="left" wrapText="1"/>
      <protection hidden="1"/>
    </xf>
    <xf numFmtId="0" fontId="17" fillId="2" borderId="1" xfId="0" applyFont="1" applyFill="1" applyBorder="1" applyAlignment="1" applyProtection="1">
      <alignment vertical="center"/>
    </xf>
    <xf numFmtId="0" fontId="17" fillId="2" borderId="1"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left" vertical="center"/>
      <protection hidden="1"/>
    </xf>
    <xf numFmtId="0" fontId="13" fillId="2" borderId="1" xfId="0" applyFont="1" applyFill="1" applyBorder="1" applyAlignment="1" applyProtection="1">
      <alignment horizontal="center" vertical="center"/>
    </xf>
    <xf numFmtId="0" fontId="13" fillId="2" borderId="1" xfId="0" applyFont="1" applyFill="1" applyBorder="1" applyAlignment="1" applyProtection="1">
      <alignment horizontal="left" vertical="center"/>
    </xf>
    <xf numFmtId="0" fontId="3" fillId="2" borderId="8" xfId="0" applyFont="1" applyFill="1" applyBorder="1" applyAlignment="1" applyProtection="1">
      <alignment vertical="center"/>
    </xf>
    <xf numFmtId="0" fontId="4" fillId="2" borderId="13" xfId="0" applyFont="1" applyFill="1" applyBorder="1" applyAlignment="1" applyProtection="1">
      <alignment horizontal="left" vertical="top" wrapText="1"/>
      <protection hidden="1"/>
    </xf>
    <xf numFmtId="0" fontId="11" fillId="0" borderId="0" xfId="133" applyFont="1" applyFill="1" applyAlignment="1" applyProtection="1"/>
    <xf numFmtId="0" fontId="8" fillId="0" borderId="0" xfId="133"/>
    <xf numFmtId="0" fontId="8" fillId="0" borderId="0" xfId="133" applyFill="1" applyAlignment="1" applyProtection="1"/>
    <xf numFmtId="0" fontId="25" fillId="0" borderId="0" xfId="36" applyFont="1" applyFill="1" applyAlignment="1" applyProtection="1">
      <alignment horizontal="center"/>
      <protection hidden="1"/>
    </xf>
    <xf numFmtId="0" fontId="25" fillId="0" borderId="0" xfId="36" applyFont="1" applyFill="1" applyAlignment="1" applyProtection="1">
      <alignment horizontal="center" wrapText="1"/>
      <protection hidden="1"/>
    </xf>
    <xf numFmtId="0" fontId="4" fillId="0" borderId="0" xfId="0" applyFont="1" applyAlignment="1" applyProtection="1">
      <alignment horizontal="center"/>
      <protection hidden="1"/>
    </xf>
    <xf numFmtId="0" fontId="29" fillId="0" borderId="0" xfId="0" applyFont="1" applyProtection="1">
      <protection hidden="1"/>
    </xf>
    <xf numFmtId="3" fontId="8" fillId="3" borderId="0" xfId="0" applyNumberFormat="1" applyFont="1" applyFill="1" applyAlignment="1" applyProtection="1">
      <protection hidden="1"/>
    </xf>
    <xf numFmtId="0" fontId="8" fillId="3" borderId="0" xfId="0" applyFont="1" applyFill="1" applyProtection="1">
      <protection hidden="1"/>
    </xf>
    <xf numFmtId="0" fontId="8" fillId="0" borderId="0" xfId="0" applyFont="1" applyFill="1" applyProtection="1">
      <protection hidden="1"/>
    </xf>
    <xf numFmtId="0" fontId="8" fillId="0" borderId="0" xfId="0" applyFont="1" applyAlignment="1" applyProtection="1">
      <alignment wrapText="1"/>
      <protection hidden="1"/>
    </xf>
    <xf numFmtId="0" fontId="16" fillId="2" borderId="18" xfId="0" applyFont="1" applyFill="1" applyBorder="1" applyAlignment="1" applyProtection="1">
      <alignment horizontal="center" wrapText="1"/>
      <protection hidden="1"/>
    </xf>
    <xf numFmtId="0" fontId="16" fillId="2" borderId="20" xfId="0" applyFont="1" applyFill="1" applyBorder="1" applyAlignment="1" applyProtection="1">
      <alignment horizontal="right" vertical="center"/>
      <protection hidden="1"/>
    </xf>
    <xf numFmtId="0" fontId="0" fillId="2" borderId="6" xfId="0" applyFill="1" applyBorder="1" applyAlignment="1"/>
    <xf numFmtId="0" fontId="0" fillId="2" borderId="23" xfId="0" applyFill="1" applyBorder="1" applyAlignment="1"/>
    <xf numFmtId="0" fontId="13" fillId="2" borderId="24" xfId="0" applyFont="1" applyFill="1" applyBorder="1" applyAlignment="1" applyProtection="1">
      <alignment vertical="center"/>
      <protection hidden="1"/>
    </xf>
    <xf numFmtId="0" fontId="13" fillId="2" borderId="12" xfId="0" applyFont="1" applyFill="1" applyBorder="1" applyAlignment="1" applyProtection="1">
      <alignment vertical="center"/>
      <protection hidden="1"/>
    </xf>
    <xf numFmtId="0" fontId="13" fillId="2" borderId="25" xfId="0" applyFont="1" applyFill="1" applyBorder="1" applyAlignment="1" applyProtection="1">
      <alignment vertical="center"/>
      <protection hidden="1"/>
    </xf>
    <xf numFmtId="0" fontId="16" fillId="2" borderId="0" xfId="0" applyFont="1" applyFill="1" applyBorder="1" applyAlignment="1" applyProtection="1">
      <alignment wrapText="1"/>
      <protection hidden="1"/>
    </xf>
    <xf numFmtId="0" fontId="13" fillId="2" borderId="0" xfId="0" applyFont="1" applyFill="1" applyBorder="1" applyAlignment="1" applyProtection="1">
      <alignment horizontal="left" vertical="center"/>
      <protection hidden="1"/>
    </xf>
    <xf numFmtId="2" fontId="16" fillId="2" borderId="19" xfId="0" applyNumberFormat="1" applyFont="1" applyFill="1" applyBorder="1" applyAlignment="1" applyProtection="1">
      <alignment horizontal="left" vertical="center" wrapText="1"/>
      <protection hidden="1"/>
    </xf>
    <xf numFmtId="0" fontId="17" fillId="2" borderId="1" xfId="0" applyFont="1" applyFill="1" applyBorder="1" applyAlignment="1" applyProtection="1">
      <alignment horizontal="left" vertical="center"/>
      <protection hidden="1"/>
    </xf>
    <xf numFmtId="0" fontId="19" fillId="2" borderId="18"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7" fillId="2" borderId="19" xfId="0" applyFont="1" applyFill="1" applyBorder="1" applyAlignment="1" applyProtection="1">
      <alignment horizontal="center" vertical="center"/>
      <protection hidden="1"/>
    </xf>
    <xf numFmtId="0" fontId="17" fillId="2" borderId="19" xfId="0" applyFont="1" applyFill="1" applyBorder="1" applyAlignment="1" applyProtection="1">
      <alignment horizontal="lef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protection hidden="1"/>
    </xf>
    <xf numFmtId="0" fontId="0" fillId="0" borderId="10" xfId="0" applyBorder="1" applyAlignment="1" applyProtection="1">
      <alignment horizontal="left" vertical="center" wrapText="1"/>
      <protection hidden="1"/>
    </xf>
    <xf numFmtId="0" fontId="0" fillId="0" borderId="10" xfId="0" applyBorder="1" applyAlignment="1" applyProtection="1">
      <alignment horizontal="left" vertical="center"/>
      <protection hidden="1"/>
    </xf>
    <xf numFmtId="165" fontId="0" fillId="0" borderId="10" xfId="0" applyNumberFormat="1" applyBorder="1" applyAlignment="1" applyProtection="1">
      <alignment horizontal="left" vertical="center" wrapText="1"/>
      <protection hidden="1"/>
    </xf>
    <xf numFmtId="0" fontId="0" fillId="1" borderId="10" xfId="0" applyFill="1" applyBorder="1" applyAlignment="1" applyProtection="1">
      <alignment horizontal="left" vertical="center" wrapText="1"/>
      <protection hidden="1"/>
    </xf>
    <xf numFmtId="0" fontId="13" fillId="2" borderId="19" xfId="0" applyFont="1" applyFill="1" applyBorder="1" applyAlignment="1" applyProtection="1">
      <alignment vertical="center"/>
      <protection hidden="1"/>
    </xf>
    <xf numFmtId="0" fontId="13" fillId="2" borderId="26" xfId="0" applyFont="1" applyFill="1" applyBorder="1" applyAlignment="1" applyProtection="1">
      <alignment vertical="center"/>
      <protection hidden="1"/>
    </xf>
    <xf numFmtId="0" fontId="13" fillId="2" borderId="18" xfId="0" applyFont="1" applyFill="1" applyBorder="1" applyAlignment="1" applyProtection="1">
      <alignment vertical="center"/>
      <protection hidden="1"/>
    </xf>
    <xf numFmtId="0" fontId="13" fillId="2" borderId="27" xfId="0" applyFont="1" applyFill="1" applyBorder="1" applyAlignment="1" applyProtection="1">
      <alignment vertical="center"/>
      <protection hidden="1"/>
    </xf>
    <xf numFmtId="1" fontId="8" fillId="0" borderId="0" xfId="0" applyNumberFormat="1" applyFont="1" applyProtection="1">
      <protection hidden="1"/>
    </xf>
    <xf numFmtId="1" fontId="8" fillId="3" borderId="0" xfId="0" applyNumberFormat="1" applyFont="1" applyFill="1" applyProtection="1">
      <protection hidden="1"/>
    </xf>
    <xf numFmtId="0" fontId="9" fillId="0" borderId="10" xfId="36" applyBorder="1" applyAlignment="1" applyProtection="1">
      <alignment vertical="center" wrapText="1"/>
      <protection hidden="1"/>
    </xf>
    <xf numFmtId="0" fontId="0" fillId="1" borderId="10" xfId="0" applyFill="1" applyBorder="1" applyAlignment="1" applyProtection="1">
      <alignment vertical="center" wrapText="1"/>
      <protection hidden="1"/>
    </xf>
    <xf numFmtId="0" fontId="9" fillId="0" borderId="10" xfId="36" applyFill="1" applyBorder="1" applyAlignment="1" applyProtection="1">
      <alignment vertical="center" wrapText="1"/>
      <protection hidden="1"/>
    </xf>
    <xf numFmtId="0" fontId="9" fillId="0" borderId="10" xfId="36" applyBorder="1" applyAlignment="1" applyProtection="1">
      <alignment vertical="center" wrapText="1"/>
    </xf>
    <xf numFmtId="0" fontId="17" fillId="2" borderId="13"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5" fillId="0" borderId="0" xfId="0" applyFont="1" applyAlignment="1">
      <alignment wrapText="1"/>
    </xf>
    <xf numFmtId="0" fontId="5"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8" fillId="0" borderId="0" xfId="0" applyFont="1" applyFill="1" applyBorder="1"/>
    <xf numFmtId="0" fontId="0" fillId="0" borderId="0" xfId="0" applyFont="1" applyFill="1" applyBorder="1"/>
    <xf numFmtId="0" fontId="4" fillId="0" borderId="28" xfId="0" applyNumberFormat="1" applyFont="1" applyFill="1" applyBorder="1" applyAlignment="1" applyProtection="1">
      <alignment vertical="center" wrapText="1"/>
      <protection hidden="1"/>
    </xf>
    <xf numFmtId="0" fontId="25" fillId="0" borderId="28" xfId="36" applyFont="1" applyBorder="1" applyAlignment="1" applyProtection="1">
      <alignment horizontal="center"/>
      <protection hidden="1"/>
    </xf>
    <xf numFmtId="0" fontId="4" fillId="0" borderId="29" xfId="0" applyNumberFormat="1" applyFont="1" applyFill="1" applyBorder="1" applyAlignment="1" applyProtection="1">
      <alignment vertical="center" wrapText="1"/>
      <protection hidden="1"/>
    </xf>
    <xf numFmtId="0" fontId="37" fillId="0" borderId="28" xfId="0" applyNumberFormat="1" applyFont="1" applyFill="1" applyBorder="1" applyAlignment="1" applyProtection="1">
      <alignment vertical="center" wrapText="1"/>
      <protection hidden="1"/>
    </xf>
    <xf numFmtId="0" fontId="5" fillId="4" borderId="28" xfId="0" applyFont="1" applyFill="1" applyBorder="1" applyAlignment="1" applyProtection="1">
      <alignment wrapText="1"/>
      <protection hidden="1"/>
    </xf>
    <xf numFmtId="0" fontId="5" fillId="4" borderId="28" xfId="0" applyFont="1" applyFill="1" applyBorder="1" applyAlignment="1" applyProtection="1">
      <protection hidden="1"/>
    </xf>
    <xf numFmtId="0" fontId="5" fillId="0" borderId="0" xfId="0" applyFont="1" applyFill="1"/>
    <xf numFmtId="0" fontId="5" fillId="0" borderId="0" xfId="0" applyFont="1" applyFill="1" applyAlignment="1">
      <alignment wrapText="1"/>
    </xf>
    <xf numFmtId="0" fontId="5" fillId="0" borderId="0" xfId="0" applyFont="1" applyFill="1" applyProtection="1"/>
    <xf numFmtId="0" fontId="0" fillId="0" borderId="0" xfId="0" applyFill="1" applyProtection="1"/>
    <xf numFmtId="0" fontId="0" fillId="0" borderId="0" xfId="0" applyFill="1" applyAlignment="1" applyProtection="1"/>
    <xf numFmtId="0" fontId="8" fillId="0" borderId="0" xfId="0" applyFont="1" applyFill="1" applyProtection="1"/>
    <xf numFmtId="0" fontId="8"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5" fillId="0" borderId="6" xfId="0" applyFont="1" applyFill="1" applyBorder="1" applyAlignment="1" applyProtection="1">
      <alignment wrapText="1"/>
    </xf>
    <xf numFmtId="0" fontId="0" fillId="0" borderId="0" xfId="0" applyFill="1" applyAlignment="1" applyProtection="1">
      <alignment vertical="top" wrapText="1"/>
    </xf>
    <xf numFmtId="0" fontId="5" fillId="0" borderId="6" xfId="0" applyFont="1" applyFill="1" applyBorder="1" applyAlignment="1" applyProtection="1">
      <alignment vertical="top" wrapText="1"/>
    </xf>
    <xf numFmtId="0" fontId="5" fillId="0" borderId="0" xfId="0" applyFont="1" applyFill="1" applyAlignment="1" applyProtection="1">
      <alignment wrapText="1"/>
    </xf>
    <xf numFmtId="0" fontId="4" fillId="0" borderId="0" xfId="0" applyFont="1" applyFill="1" applyAlignment="1" applyProtection="1">
      <alignment wrapText="1"/>
    </xf>
    <xf numFmtId="0" fontId="5"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0" xfId="0" applyFill="1" applyBorder="1"/>
    <xf numFmtId="0" fontId="38" fillId="2" borderId="5" xfId="0" applyFont="1" applyFill="1" applyBorder="1" applyAlignment="1" applyProtection="1">
      <alignment horizontal="center" vertical="center" wrapText="1"/>
      <protection hidden="1"/>
    </xf>
    <xf numFmtId="0" fontId="42" fillId="3" borderId="10" xfId="0" applyFont="1" applyFill="1" applyBorder="1"/>
    <xf numFmtId="0" fontId="13" fillId="2" borderId="30"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3" fillId="2" borderId="0" xfId="0" applyFont="1" applyFill="1" applyBorder="1" applyAlignment="1" applyProtection="1">
      <alignment horizontal="center" vertical="center" wrapText="1"/>
      <protection hidden="1"/>
    </xf>
    <xf numFmtId="49" fontId="17" fillId="2" borderId="31" xfId="0" applyNumberFormat="1" applyFont="1" applyFill="1" applyBorder="1" applyAlignment="1" applyProtection="1">
      <alignment horizontal="left" vertical="center" wrapText="1"/>
      <protection locked="0"/>
    </xf>
    <xf numFmtId="1" fontId="8" fillId="0" borderId="0" xfId="0" applyNumberFormat="1" applyFont="1" applyFill="1" applyProtection="1">
      <protection hidden="1"/>
    </xf>
    <xf numFmtId="0" fontId="9" fillId="0" borderId="0" xfId="36" applyFill="1" applyAlignment="1" applyProtection="1">
      <alignment horizontal="center"/>
      <protection hidden="1"/>
    </xf>
    <xf numFmtId="0" fontId="45" fillId="2" borderId="24" xfId="36" applyFont="1" applyFill="1" applyBorder="1" applyAlignment="1" applyProtection="1">
      <alignment horizontal="left" vertical="center"/>
      <protection hidden="1"/>
    </xf>
    <xf numFmtId="0" fontId="46" fillId="2" borderId="0" xfId="36" applyFont="1" applyFill="1" applyAlignment="1" applyProtection="1">
      <alignment vertical="center"/>
    </xf>
    <xf numFmtId="0" fontId="46" fillId="2" borderId="0" xfId="36" applyFont="1" applyFill="1" applyBorder="1" applyAlignment="1" applyProtection="1">
      <alignment horizontal="center" vertical="center"/>
      <protection hidden="1"/>
    </xf>
    <xf numFmtId="0" fontId="47" fillId="0" borderId="18" xfId="36" applyFont="1" applyFill="1" applyBorder="1" applyAlignment="1" applyProtection="1">
      <alignment horizontal="center"/>
      <protection hidden="1"/>
    </xf>
    <xf numFmtId="0" fontId="48" fillId="2" borderId="0" xfId="36" applyFont="1" applyFill="1" applyBorder="1" applyAlignment="1" applyProtection="1">
      <alignment horizontal="center" vertical="center"/>
      <protection hidden="1"/>
    </xf>
    <xf numFmtId="0" fontId="49" fillId="2" borderId="32"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3" fillId="2" borderId="33" xfId="0" applyFont="1" applyFill="1" applyBorder="1" applyAlignment="1" applyProtection="1">
      <alignment vertical="center" wrapText="1"/>
      <protection locked="0"/>
    </xf>
    <xf numFmtId="0" fontId="13" fillId="2" borderId="34" xfId="0" applyFont="1" applyFill="1" applyBorder="1" applyAlignment="1" applyProtection="1">
      <alignment vertical="center" wrapText="1"/>
      <protection locked="0"/>
    </xf>
    <xf numFmtId="0" fontId="13" fillId="2" borderId="23" xfId="0" applyFont="1" applyFill="1" applyBorder="1" applyAlignment="1" applyProtection="1">
      <alignment vertical="center" wrapText="1"/>
      <protection locked="0"/>
    </xf>
    <xf numFmtId="0" fontId="16" fillId="2" borderId="6" xfId="0" applyFont="1" applyFill="1" applyBorder="1" applyAlignment="1" applyProtection="1">
      <alignment horizontal="center" wrapText="1"/>
      <protection locked="0"/>
    </xf>
    <xf numFmtId="0" fontId="16" fillId="2" borderId="18" xfId="0" applyFont="1" applyFill="1" applyBorder="1" applyAlignment="1" applyProtection="1">
      <alignment horizontal="left" vertical="center" wrapText="1"/>
      <protection hidden="1"/>
    </xf>
    <xf numFmtId="0" fontId="13" fillId="2" borderId="18" xfId="0" applyFont="1" applyFill="1" applyBorder="1" applyAlignment="1" applyProtection="1">
      <protection hidden="1"/>
    </xf>
    <xf numFmtId="0" fontId="16" fillId="2" borderId="35" xfId="0" applyFont="1" applyFill="1" applyBorder="1" applyAlignment="1" applyProtection="1">
      <alignment horizontal="center" wrapText="1"/>
      <protection hidden="1"/>
    </xf>
    <xf numFmtId="0" fontId="13" fillId="2" borderId="32" xfId="0" applyFont="1" applyFill="1" applyBorder="1" applyAlignment="1" applyProtection="1">
      <alignment vertical="center"/>
      <protection hidden="1"/>
    </xf>
    <xf numFmtId="0" fontId="58" fillId="2" borderId="6" xfId="0" applyFont="1" applyFill="1" applyBorder="1" applyAlignment="1" applyProtection="1">
      <alignment vertical="top" wrapText="1"/>
    </xf>
    <xf numFmtId="0" fontId="20" fillId="2" borderId="20" xfId="0" applyFont="1" applyFill="1" applyBorder="1" applyAlignment="1" applyProtection="1">
      <alignment horizontal="right" wrapText="1"/>
      <protection hidden="1"/>
    </xf>
    <xf numFmtId="0" fontId="14" fillId="2" borderId="36" xfId="0" applyFont="1" applyFill="1" applyBorder="1" applyAlignment="1" applyProtection="1">
      <alignment vertical="center" wrapText="1"/>
    </xf>
    <xf numFmtId="0" fontId="4" fillId="2" borderId="13"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4" fillId="0" borderId="37" xfId="0" applyFont="1" applyFill="1" applyBorder="1" applyAlignment="1" applyProtection="1">
      <alignment horizontal="center"/>
      <protection hidden="1"/>
    </xf>
    <xf numFmtId="0" fontId="16" fillId="2" borderId="30" xfId="0" applyFont="1" applyFill="1" applyBorder="1" applyAlignment="1" applyProtection="1">
      <alignment horizontal="center" vertical="center"/>
      <protection hidden="1"/>
    </xf>
    <xf numFmtId="0" fontId="0" fillId="0" borderId="10" xfId="0" applyBorder="1" applyAlignment="1" applyProtection="1">
      <alignment horizontal="right" vertical="center" wrapText="1"/>
      <protection hidden="1"/>
    </xf>
    <xf numFmtId="0" fontId="42" fillId="0" borderId="0" xfId="0" applyFont="1" applyProtection="1">
      <protection hidden="1"/>
    </xf>
    <xf numFmtId="2" fontId="28" fillId="2" borderId="2" xfId="115" applyNumberFormat="1" applyFont="1" applyFill="1" applyBorder="1" applyAlignment="1">
      <alignment horizontal="center" vertical="top" wrapText="1"/>
    </xf>
    <xf numFmtId="0" fontId="28" fillId="2" borderId="9" xfId="115" applyFont="1" applyFill="1" applyBorder="1" applyAlignment="1">
      <alignment horizontal="center" vertical="top" wrapText="1"/>
    </xf>
    <xf numFmtId="0" fontId="59" fillId="0" borderId="0" xfId="0" applyFont="1" applyFill="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73" applyFont="1" applyFill="1" applyAlignment="1">
      <alignment vertical="top" wrapText="1"/>
    </xf>
    <xf numFmtId="0" fontId="0" fillId="0" borderId="0" xfId="0" applyFont="1" applyFill="1" applyAlignment="1">
      <alignment horizontal="left" vertical="top" wrapText="1"/>
    </xf>
    <xf numFmtId="0" fontId="16" fillId="2" borderId="0" xfId="0" applyFont="1" applyFill="1" applyBorder="1" applyAlignment="1" applyProtection="1">
      <alignment horizontal="center" vertical="center" wrapText="1"/>
      <protection hidden="1"/>
    </xf>
    <xf numFmtId="0" fontId="16" fillId="2" borderId="35" xfId="0" applyFont="1" applyFill="1" applyBorder="1" applyAlignment="1" applyProtection="1">
      <alignment horizontal="center" vertical="center" wrapText="1"/>
      <protection hidden="1"/>
    </xf>
    <xf numFmtId="0" fontId="16" fillId="2" borderId="38" xfId="0" applyFont="1" applyFill="1" applyBorder="1" applyAlignment="1" applyProtection="1">
      <alignment horizontal="center" vertical="center" wrapText="1"/>
      <protection hidden="1"/>
    </xf>
    <xf numFmtId="0" fontId="6" fillId="0" borderId="0" xfId="0" applyFont="1" applyFill="1" applyAlignment="1">
      <alignment horizontal="center"/>
    </xf>
    <xf numFmtId="0" fontId="4" fillId="0" borderId="28"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6" fillId="2" borderId="39" xfId="0" applyFont="1" applyFill="1" applyBorder="1" applyAlignment="1" applyProtection="1">
      <alignment horizontal="center" wrapText="1"/>
    </xf>
    <xf numFmtId="0" fontId="13" fillId="2" borderId="40" xfId="0" applyFont="1" applyFill="1" applyBorder="1" applyAlignment="1" applyProtection="1">
      <alignment vertical="center"/>
    </xf>
    <xf numFmtId="0" fontId="64" fillId="0" borderId="0" xfId="0" applyFont="1" applyFill="1" applyAlignment="1" applyProtection="1">
      <alignment horizontal="center" vertical="center" wrapText="1"/>
      <protection hidden="1"/>
    </xf>
    <xf numFmtId="0" fontId="102"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36" borderId="0" xfId="0" applyFill="1" applyProtection="1">
      <protection hidden="1"/>
    </xf>
    <xf numFmtId="0" fontId="28" fillId="0" borderId="10" xfId="0" applyFont="1" applyBorder="1" applyAlignment="1">
      <alignment vertical="top" wrapText="1"/>
    </xf>
    <xf numFmtId="166" fontId="28" fillId="2" borderId="2" xfId="115"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42" fillId="0" borderId="0" xfId="0" applyFont="1" applyFill="1" applyAlignment="1" applyProtection="1">
      <alignment horizontal="center" vertical="center" wrapText="1"/>
      <protection hidden="1"/>
    </xf>
    <xf numFmtId="0" fontId="0" fillId="0" borderId="41" xfId="0" applyFill="1" applyBorder="1"/>
    <xf numFmtId="0" fontId="103" fillId="37" borderId="0" xfId="0" applyFont="1" applyFill="1" applyProtection="1">
      <protection hidden="1"/>
    </xf>
    <xf numFmtId="0" fontId="0" fillId="38" borderId="10" xfId="0" applyFill="1" applyBorder="1" applyAlignment="1" applyProtection="1">
      <alignment horizontal="left" vertical="center"/>
      <protection hidden="1"/>
    </xf>
    <xf numFmtId="0" fontId="0" fillId="38" borderId="10" xfId="0" applyFill="1" applyBorder="1" applyAlignment="1" applyProtection="1">
      <alignment horizontal="left" vertical="center" wrapText="1"/>
      <protection hidden="1"/>
    </xf>
    <xf numFmtId="0" fontId="0" fillId="0" borderId="0" xfId="0" applyFont="1" applyFill="1" applyAlignment="1">
      <alignment vertical="top"/>
    </xf>
    <xf numFmtId="0" fontId="59" fillId="0" borderId="0" xfId="0" applyFont="1" applyFill="1" applyBorder="1" applyAlignment="1">
      <alignment vertical="top" wrapText="1"/>
    </xf>
    <xf numFmtId="0" fontId="4" fillId="36" borderId="28" xfId="0" applyNumberFormat="1" applyFont="1" applyFill="1" applyBorder="1" applyAlignment="1" applyProtection="1">
      <alignment vertical="center" wrapText="1"/>
      <protection hidden="1"/>
    </xf>
    <xf numFmtId="0" fontId="0" fillId="0" borderId="0" xfId="0" applyProtection="1">
      <protection locked="0"/>
    </xf>
    <xf numFmtId="0" fontId="13" fillId="2" borderId="42" xfId="0" applyFont="1" applyFill="1" applyBorder="1" applyAlignment="1" applyProtection="1">
      <alignment horizontal="center" vertical="center" wrapText="1"/>
      <protection hidden="1"/>
    </xf>
    <xf numFmtId="0" fontId="13" fillId="2" borderId="43" xfId="0" applyFont="1" applyFill="1" applyBorder="1" applyAlignment="1" applyProtection="1">
      <alignment horizontal="center" vertical="center" wrapText="1"/>
      <protection hidden="1"/>
    </xf>
    <xf numFmtId="0" fontId="6" fillId="0" borderId="0" xfId="0" applyFont="1" applyFill="1" applyAlignment="1">
      <alignment wrapText="1"/>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4" xfId="0" applyFill="1" applyBorder="1" applyAlignment="1" applyProtection="1">
      <alignment wrapText="1"/>
      <protection hidden="1"/>
    </xf>
    <xf numFmtId="0" fontId="0" fillId="0" borderId="0" xfId="0" applyFill="1" applyAlignment="1" applyProtection="1">
      <alignment wrapText="1"/>
      <protection hidden="1"/>
    </xf>
    <xf numFmtId="0" fontId="8" fillId="0" borderId="0" xfId="0" applyFont="1" applyFill="1" applyAlignment="1" applyProtection="1">
      <alignment wrapText="1"/>
      <protection hidden="1"/>
    </xf>
    <xf numFmtId="0" fontId="8" fillId="0" borderId="0" xfId="0" applyFont="1" applyFill="1" applyAlignment="1" applyProtection="1">
      <protection hidden="1"/>
    </xf>
    <xf numFmtId="0" fontId="0" fillId="3" borderId="0" xfId="0" applyFill="1" applyAlignment="1" applyProtection="1">
      <alignment wrapText="1"/>
      <protection hidden="1"/>
    </xf>
    <xf numFmtId="0" fontId="13" fillId="0" borderId="0" xfId="0" applyFont="1" applyFill="1" applyBorder="1" applyAlignment="1" applyProtection="1">
      <alignment horizontal="center" vertical="center"/>
      <protection hidden="1"/>
    </xf>
    <xf numFmtId="0" fontId="8"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45" xfId="0" applyFill="1" applyBorder="1" applyAlignment="1" applyProtection="1">
      <alignment wrapText="1"/>
    </xf>
    <xf numFmtId="0" fontId="6" fillId="0" borderId="0" xfId="0" applyFont="1" applyFill="1" applyProtection="1">
      <protection hidden="1"/>
    </xf>
    <xf numFmtId="0" fontId="6" fillId="0" borderId="0" xfId="0" applyFont="1" applyFill="1" applyAlignment="1" applyProtection="1">
      <alignment wrapText="1"/>
      <protection hidden="1"/>
    </xf>
    <xf numFmtId="2" fontId="28" fillId="2" borderId="10" xfId="115" applyNumberFormat="1" applyFont="1" applyFill="1" applyBorder="1" applyAlignment="1">
      <alignment horizontal="center" vertical="top" wrapText="1"/>
    </xf>
    <xf numFmtId="164" fontId="28" fillId="2" borderId="10" xfId="115" applyNumberFormat="1" applyFont="1" applyFill="1" applyBorder="1" applyAlignment="1">
      <alignment horizontal="center" vertical="top" wrapText="1"/>
    </xf>
    <xf numFmtId="49" fontId="6" fillId="0" borderId="0" xfId="0" applyNumberFormat="1" applyFont="1" applyFill="1" applyBorder="1" applyAlignment="1" applyProtection="1"/>
    <xf numFmtId="0" fontId="104" fillId="36" borderId="10" xfId="0" applyFont="1" applyFill="1" applyBorder="1" applyAlignment="1" applyProtection="1">
      <alignment horizontal="left" vertical="center" wrapText="1"/>
      <protection hidden="1"/>
    </xf>
    <xf numFmtId="0" fontId="0" fillId="0" borderId="0" xfId="0" applyFill="1" applyAlignment="1">
      <alignment vertical="top" wrapText="1"/>
    </xf>
    <xf numFmtId="0" fontId="69" fillId="0" borderId="0" xfId="0" applyFont="1" applyFill="1" applyAlignment="1">
      <alignment vertical="top" wrapText="1"/>
    </xf>
    <xf numFmtId="0" fontId="70" fillId="0" borderId="0" xfId="0" applyFont="1" applyFill="1" applyAlignment="1">
      <alignment vertical="top" wrapText="1"/>
    </xf>
    <xf numFmtId="0" fontId="5" fillId="0" borderId="28" xfId="0" applyNumberFormat="1" applyFont="1" applyFill="1" applyBorder="1" applyAlignment="1" applyProtection="1">
      <alignment vertical="center" wrapText="1"/>
      <protection hidden="1"/>
    </xf>
    <xf numFmtId="0" fontId="28" fillId="2" borderId="9" xfId="115" applyFont="1" applyFill="1" applyBorder="1" applyAlignment="1">
      <alignment vertical="center" wrapText="1"/>
    </xf>
    <xf numFmtId="0" fontId="28" fillId="2" borderId="46" xfId="115" applyFont="1" applyFill="1" applyBorder="1" applyAlignment="1">
      <alignment vertical="top" wrapText="1"/>
    </xf>
    <xf numFmtId="0" fontId="28" fillId="2" borderId="47" xfId="115" applyFont="1" applyFill="1" applyBorder="1" applyAlignment="1">
      <alignment vertical="top" wrapText="1"/>
    </xf>
    <xf numFmtId="0" fontId="6" fillId="0" borderId="2" xfId="0" applyFont="1" applyFill="1" applyBorder="1" applyAlignment="1" applyProtection="1">
      <alignment wrapText="1"/>
    </xf>
    <xf numFmtId="0" fontId="28" fillId="2" borderId="9" xfId="115" applyFont="1" applyFill="1" applyBorder="1" applyAlignment="1">
      <alignment horizontal="left" vertical="top" wrapText="1"/>
    </xf>
    <xf numFmtId="0" fontId="6" fillId="0" borderId="9" xfId="0" applyFont="1" applyFill="1" applyBorder="1" applyAlignment="1" applyProtection="1">
      <alignment vertical="top" wrapText="1"/>
    </xf>
    <xf numFmtId="0" fontId="28" fillId="2" borderId="10" xfId="115" applyFont="1" applyFill="1" applyBorder="1" applyAlignment="1">
      <alignment vertical="top" wrapText="1"/>
    </xf>
    <xf numFmtId="0" fontId="51" fillId="2" borderId="48" xfId="0" applyFont="1" applyFill="1" applyBorder="1" applyAlignment="1" applyProtection="1">
      <alignment horizontal="center" vertical="center" wrapText="1"/>
      <protection hidden="1"/>
    </xf>
    <xf numFmtId="0" fontId="51" fillId="0" borderId="49" xfId="0" applyFont="1" applyBorder="1" applyAlignment="1" applyProtection="1">
      <alignment horizontal="center" vertical="center" wrapText="1"/>
      <protection hidden="1"/>
    </xf>
    <xf numFmtId="0" fontId="39" fillId="0" borderId="50" xfId="0" applyFont="1" applyBorder="1" applyAlignment="1" applyProtection="1">
      <alignment vertical="center" wrapText="1"/>
      <protection hidden="1"/>
    </xf>
    <xf numFmtId="0" fontId="59" fillId="0" borderId="0" xfId="0" applyFont="1" applyFill="1" applyAlignment="1">
      <alignment horizontal="left" vertical="top" wrapText="1"/>
    </xf>
    <xf numFmtId="0" fontId="54" fillId="0" borderId="0" xfId="73" applyNumberFormat="1" applyFont="1" applyFill="1" applyBorder="1" applyAlignment="1" applyProtection="1">
      <alignment vertical="top" wrapText="1"/>
      <protection hidden="1"/>
    </xf>
    <xf numFmtId="0" fontId="54" fillId="0" borderId="0" xfId="73" applyFont="1" applyFill="1" applyBorder="1" applyAlignment="1">
      <alignment vertical="top" wrapText="1"/>
    </xf>
    <xf numFmtId="0" fontId="105" fillId="0" borderId="0" xfId="0" applyFont="1" applyFill="1" applyAlignment="1">
      <alignment vertical="top" wrapText="1"/>
    </xf>
    <xf numFmtId="0" fontId="53" fillId="0" borderId="0" xfId="73" applyFont="1" applyFill="1" applyBorder="1" applyAlignment="1">
      <alignment vertical="top" wrapText="1"/>
    </xf>
    <xf numFmtId="0" fontId="54" fillId="0" borderId="0" xfId="25" applyNumberFormat="1" applyFont="1" applyFill="1" applyBorder="1" applyAlignment="1" applyProtection="1">
      <alignment vertical="top" wrapText="1"/>
      <protection hidden="1"/>
    </xf>
    <xf numFmtId="0" fontId="56" fillId="0" borderId="0" xfId="73" applyNumberFormat="1" applyFont="1" applyFill="1" applyBorder="1" applyAlignment="1" applyProtection="1">
      <alignment vertical="top" wrapText="1"/>
      <protection hidden="1"/>
    </xf>
    <xf numFmtId="0" fontId="59" fillId="0" borderId="0" xfId="0" applyFont="1" applyFill="1" applyAlignment="1">
      <alignment wrapText="1"/>
    </xf>
    <xf numFmtId="0" fontId="54" fillId="0" borderId="0" xfId="73" applyFont="1" applyFill="1" applyAlignment="1">
      <alignment horizontal="left" vertical="top" wrapText="1"/>
    </xf>
    <xf numFmtId="0" fontId="53" fillId="0" borderId="0" xfId="0" applyFont="1" applyFill="1" applyAlignment="1">
      <alignment vertical="top" wrapText="1"/>
    </xf>
    <xf numFmtId="0" fontId="54" fillId="0" borderId="0" xfId="0" applyFont="1" applyFill="1" applyAlignment="1">
      <alignment wrapText="1"/>
    </xf>
    <xf numFmtId="0" fontId="54" fillId="0" borderId="0" xfId="0" applyNumberFormat="1" applyFont="1" applyFill="1" applyAlignment="1">
      <alignment vertical="top" wrapText="1"/>
    </xf>
    <xf numFmtId="0" fontId="62" fillId="0" borderId="0" xfId="0" applyFont="1" applyFill="1" applyAlignment="1">
      <alignment vertical="top" wrapText="1"/>
    </xf>
    <xf numFmtId="0" fontId="63" fillId="0" borderId="0" xfId="0" applyFont="1" applyFill="1" applyAlignment="1">
      <alignment vertical="top" wrapText="1"/>
    </xf>
    <xf numFmtId="0" fontId="0" fillId="0" borderId="0" xfId="0" applyFill="1" applyAlignment="1">
      <alignment wrapText="1"/>
    </xf>
    <xf numFmtId="0" fontId="59" fillId="0" borderId="0" xfId="0" applyFont="1" applyFill="1" applyAlignment="1" applyProtection="1">
      <alignment horizontal="left" vertical="top" wrapText="1"/>
    </xf>
    <xf numFmtId="0" fontId="97" fillId="0" borderId="0" xfId="51" applyFont="1" applyFill="1" applyAlignment="1">
      <alignment vertical="center" wrapText="1"/>
    </xf>
    <xf numFmtId="0" fontId="59" fillId="0" borderId="0" xfId="0" applyFont="1" applyFill="1" applyAlignment="1">
      <alignment horizontal="left" wrapText="1"/>
    </xf>
    <xf numFmtId="0" fontId="68" fillId="0" borderId="0" xfId="0" applyFont="1" applyFill="1" applyAlignment="1">
      <alignment horizontal="left" vertical="center" wrapText="1"/>
    </xf>
    <xf numFmtId="0" fontId="59" fillId="0" borderId="0" xfId="0" applyFont="1" applyFill="1" applyAlignment="1" applyProtection="1">
      <alignment wrapText="1"/>
      <protection hidden="1"/>
    </xf>
    <xf numFmtId="0" fontId="56" fillId="0" borderId="0" xfId="0" applyFont="1" applyFill="1" applyAlignment="1">
      <alignment vertical="center" wrapText="1"/>
    </xf>
    <xf numFmtId="0" fontId="59" fillId="0" borderId="0" xfId="0" applyFont="1" applyFill="1" applyAlignment="1" applyProtection="1">
      <alignment horizontal="left" wrapText="1"/>
      <protection hidden="1"/>
    </xf>
    <xf numFmtId="0" fontId="0" fillId="0" borderId="0" xfId="133" applyFont="1" applyFill="1" applyAlignment="1" applyProtection="1"/>
    <xf numFmtId="164" fontId="0" fillId="2" borderId="4" xfId="0" applyNumberFormat="1" applyFont="1" applyFill="1" applyBorder="1" applyAlignment="1">
      <alignment vertical="top" wrapText="1"/>
    </xf>
    <xf numFmtId="164" fontId="0" fillId="2" borderId="0" xfId="0" applyNumberFormat="1" applyFont="1" applyFill="1" applyBorder="1" applyAlignment="1"/>
    <xf numFmtId="164" fontId="11" fillId="2" borderId="0" xfId="0" applyNumberFormat="1" applyFont="1" applyFill="1" applyBorder="1"/>
    <xf numFmtId="164" fontId="16" fillId="2" borderId="0" xfId="0" applyNumberFormat="1" applyFont="1" applyFill="1" applyBorder="1" applyAlignment="1">
      <alignment horizontal="center" vertical="center" wrapText="1"/>
    </xf>
    <xf numFmtId="164" fontId="13" fillId="2" borderId="0" xfId="0" applyNumberFormat="1" applyFont="1" applyFill="1" applyBorder="1" applyAlignment="1">
      <alignment horizontal="center" vertical="center"/>
    </xf>
    <xf numFmtId="164" fontId="0" fillId="2" borderId="0" xfId="0" applyNumberFormat="1" applyFont="1" applyFill="1" applyBorder="1"/>
    <xf numFmtId="164" fontId="30" fillId="2" borderId="11" xfId="115" applyNumberFormat="1" applyFont="1" applyFill="1" applyBorder="1" applyAlignment="1">
      <alignment horizontal="center" vertical="center" wrapText="1"/>
    </xf>
    <xf numFmtId="164" fontId="0" fillId="0" borderId="0" xfId="0" applyNumberFormat="1" applyFont="1" applyFill="1" applyBorder="1"/>
    <xf numFmtId="164" fontId="0" fillId="0" borderId="0" xfId="0" applyNumberFormat="1" applyFill="1"/>
    <xf numFmtId="0" fontId="0" fillId="2" borderId="10" xfId="0" applyFill="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hidden="1"/>
    </xf>
    <xf numFmtId="0" fontId="0" fillId="2" borderId="26" xfId="0" applyFont="1" applyFill="1" applyBorder="1" applyAlignment="1" applyProtection="1">
      <alignment horizontal="left" vertical="center" wrapText="1"/>
      <protection locked="0" hidden="1"/>
    </xf>
    <xf numFmtId="0" fontId="0" fillId="2" borderId="36" xfId="0" applyFont="1" applyFill="1" applyBorder="1" applyAlignment="1" applyProtection="1">
      <alignment horizontal="left" vertical="center" wrapText="1"/>
      <protection locked="0" hidden="1"/>
    </xf>
    <xf numFmtId="0" fontId="0" fillId="0" borderId="10" xfId="0" applyFont="1" applyBorder="1" applyAlignment="1" applyProtection="1">
      <alignment wrapText="1"/>
      <protection locked="0"/>
    </xf>
    <xf numFmtId="0" fontId="0" fillId="0" borderId="51" xfId="0" applyFont="1" applyBorder="1" applyAlignment="1" applyProtection="1">
      <alignment wrapText="1"/>
      <protection locked="0"/>
    </xf>
    <xf numFmtId="49" fontId="106" fillId="0" borderId="0" xfId="51" applyNumberFormat="1" applyFont="1" applyFill="1" applyBorder="1" applyAlignment="1" applyProtection="1"/>
    <xf numFmtId="0" fontId="0" fillId="0" borderId="10" xfId="0" applyFont="1" applyBorder="1" applyAlignment="1" applyProtection="1">
      <alignment vertical="center" wrapText="1"/>
      <protection locked="0" hidden="1"/>
    </xf>
    <xf numFmtId="0" fontId="6" fillId="2" borderId="39" xfId="0" applyFont="1" applyFill="1" applyBorder="1" applyAlignment="1" applyProtection="1">
      <alignment horizontal="center" wrapText="1"/>
      <protection locked="0" hidden="1"/>
    </xf>
    <xf numFmtId="0" fontId="16" fillId="2" borderId="32" xfId="0" applyFont="1" applyFill="1" applyBorder="1" applyAlignment="1" applyProtection="1">
      <alignment wrapText="1"/>
      <protection hidden="1"/>
    </xf>
    <xf numFmtId="0" fontId="46" fillId="2" borderId="0" xfId="36" applyFont="1" applyFill="1" applyBorder="1" applyAlignment="1" applyProtection="1">
      <alignment vertical="center" wrapText="1"/>
      <protection hidden="1"/>
    </xf>
    <xf numFmtId="0" fontId="14" fillId="0" borderId="50" xfId="0" applyFont="1" applyBorder="1" applyAlignment="1" applyProtection="1">
      <alignment vertical="center" wrapText="1"/>
      <protection hidden="1"/>
    </xf>
    <xf numFmtId="0" fontId="107" fillId="0" borderId="0" xfId="0" applyFont="1" applyFill="1" applyAlignment="1">
      <alignment vertical="center" wrapText="1"/>
    </xf>
    <xf numFmtId="0" fontId="108" fillId="0" borderId="0" xfId="0" applyFont="1" applyFill="1" applyAlignment="1">
      <alignment vertical="top" wrapText="1"/>
    </xf>
    <xf numFmtId="0" fontId="108" fillId="0" borderId="0" xfId="0" applyFont="1" applyFill="1"/>
    <xf numFmtId="0" fontId="107" fillId="0" borderId="0" xfId="0" applyFont="1" applyFill="1"/>
    <xf numFmtId="0" fontId="28" fillId="0" borderId="46" xfId="115" applyFont="1" applyFill="1" applyBorder="1" applyAlignment="1">
      <alignment horizontal="center" vertical="top" wrapText="1"/>
    </xf>
    <xf numFmtId="0" fontId="28" fillId="0" borderId="47" xfId="115" applyFont="1" applyFill="1" applyBorder="1" applyAlignment="1">
      <alignment horizontal="center" vertical="top" wrapText="1"/>
    </xf>
    <xf numFmtId="0" fontId="28" fillId="0" borderId="2" xfId="115" applyFont="1" applyFill="1" applyBorder="1" applyAlignment="1">
      <alignment horizontal="center" vertical="top" wrapText="1"/>
    </xf>
    <xf numFmtId="164" fontId="28" fillId="0" borderId="46" xfId="115" applyNumberFormat="1" applyFont="1" applyFill="1" applyBorder="1" applyAlignment="1">
      <alignment horizontal="center" vertical="top" wrapText="1"/>
    </xf>
    <xf numFmtId="164" fontId="28" fillId="0" borderId="47" xfId="115" applyNumberFormat="1" applyFont="1" applyFill="1" applyBorder="1" applyAlignment="1">
      <alignment horizontal="center" vertical="top" wrapText="1"/>
    </xf>
    <xf numFmtId="164" fontId="28" fillId="0" borderId="2" xfId="115" applyNumberFormat="1" applyFont="1" applyFill="1" applyBorder="1" applyAlignment="1">
      <alignment horizontal="center" vertical="top" wrapText="1"/>
    </xf>
    <xf numFmtId="0" fontId="28" fillId="2" borderId="46" xfId="115" applyFont="1" applyFill="1" applyBorder="1" applyAlignment="1">
      <alignment horizontal="left" vertical="top" wrapText="1"/>
    </xf>
    <xf numFmtId="0" fontId="28" fillId="2" borderId="47" xfId="115" applyFont="1" applyFill="1" applyBorder="1" applyAlignment="1">
      <alignment horizontal="left" vertical="top" wrapText="1"/>
    </xf>
    <xf numFmtId="0" fontId="28" fillId="2" borderId="2" xfId="115" applyFont="1" applyFill="1" applyBorder="1" applyAlignment="1">
      <alignment horizontal="left" vertical="top" wrapText="1"/>
    </xf>
    <xf numFmtId="0" fontId="14" fillId="2" borderId="6"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6" fillId="2" borderId="41" xfId="0" applyFont="1" applyFill="1" applyBorder="1" applyAlignment="1">
      <alignment horizontal="center"/>
    </xf>
    <xf numFmtId="0" fontId="11"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8" fillId="2" borderId="46" xfId="115" applyFont="1" applyFill="1" applyBorder="1" applyAlignment="1">
      <alignment horizontal="center" vertical="top" wrapText="1"/>
    </xf>
    <xf numFmtId="0" fontId="28" fillId="2" borderId="47" xfId="115" applyFont="1" applyFill="1" applyBorder="1" applyAlignment="1">
      <alignment horizontal="center" vertical="top" wrapText="1"/>
    </xf>
    <xf numFmtId="0" fontId="28" fillId="2" borderId="2" xfId="115" applyFont="1" applyFill="1" applyBorder="1" applyAlignment="1">
      <alignment horizontal="center" vertical="top" wrapText="1"/>
    </xf>
    <xf numFmtId="164" fontId="28" fillId="2" borderId="46" xfId="115" applyNumberFormat="1" applyFont="1" applyFill="1" applyBorder="1" applyAlignment="1">
      <alignment horizontal="center" vertical="top" wrapText="1"/>
    </xf>
    <xf numFmtId="164" fontId="28" fillId="2" borderId="47" xfId="115" applyNumberFormat="1" applyFont="1" applyFill="1" applyBorder="1" applyAlignment="1">
      <alignment horizontal="center" vertical="top" wrapText="1"/>
    </xf>
    <xf numFmtId="164" fontId="28" fillId="2" borderId="2" xfId="115" applyNumberFormat="1" applyFont="1" applyFill="1" applyBorder="1" applyAlignment="1">
      <alignment horizontal="center" vertical="top" wrapText="1"/>
    </xf>
    <xf numFmtId="2" fontId="28" fillId="2" borderId="46" xfId="115" applyNumberFormat="1" applyFont="1" applyFill="1" applyBorder="1" applyAlignment="1">
      <alignment horizontal="center" vertical="top" wrapText="1"/>
    </xf>
    <xf numFmtId="2" fontId="28" fillId="2" borderId="47" xfId="115" applyNumberFormat="1" applyFont="1" applyFill="1" applyBorder="1" applyAlignment="1">
      <alignment horizontal="center" vertical="top" wrapText="1"/>
    </xf>
    <xf numFmtId="2" fontId="28" fillId="2" borderId="2" xfId="115"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19"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9" fillId="2" borderId="23" xfId="0" applyFont="1" applyFill="1" applyBorder="1" applyAlignment="1" applyProtection="1">
      <alignment horizontal="center" vertical="center"/>
      <protection hidden="1"/>
    </xf>
    <xf numFmtId="0" fontId="19" fillId="2" borderId="41" xfId="0" applyFont="1" applyFill="1" applyBorder="1" applyAlignment="1" applyProtection="1">
      <alignment horizontal="center" vertical="center"/>
      <protection hidden="1"/>
    </xf>
    <xf numFmtId="0" fontId="13" fillId="2" borderId="53"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0" fontId="17" fillId="2" borderId="53" xfId="0" applyFont="1" applyFill="1" applyBorder="1" applyAlignment="1" applyProtection="1">
      <alignment horizontal="left" vertical="center"/>
      <protection locked="0"/>
    </xf>
    <xf numFmtId="0" fontId="17" fillId="2" borderId="31" xfId="0" applyFont="1" applyFill="1" applyBorder="1" applyAlignment="1" applyProtection="1">
      <alignment horizontal="left" vertical="center"/>
      <protection locked="0"/>
    </xf>
    <xf numFmtId="0" fontId="26" fillId="0" borderId="18" xfId="36" applyFont="1" applyFill="1" applyBorder="1" applyAlignment="1" applyProtection="1">
      <alignment horizontal="center"/>
      <protection hidden="1"/>
    </xf>
    <xf numFmtId="0" fontId="17" fillId="2" borderId="1" xfId="0" applyFont="1" applyFill="1" applyBorder="1" applyAlignment="1" applyProtection="1">
      <alignment horizontal="center" vertical="center"/>
    </xf>
    <xf numFmtId="0" fontId="13" fillId="2" borderId="1" xfId="0" applyFont="1" applyFill="1" applyBorder="1" applyAlignment="1" applyProtection="1">
      <alignment horizontal="left" vertical="center" wrapText="1"/>
    </xf>
    <xf numFmtId="0" fontId="27" fillId="0" borderId="0" xfId="36" applyFont="1" applyFill="1" applyBorder="1" applyAlignment="1" applyProtection="1">
      <alignment horizontal="center" vertical="center" wrapText="1"/>
      <protection hidden="1"/>
    </xf>
    <xf numFmtId="0" fontId="24" fillId="0" borderId="18" xfId="36" applyFont="1" applyFill="1" applyBorder="1" applyAlignment="1" applyProtection="1">
      <alignment horizontal="center" wrapText="1"/>
      <protection hidden="1"/>
    </xf>
    <xf numFmtId="49" fontId="17" fillId="2" borderId="53" xfId="0" applyNumberFormat="1" applyFont="1" applyFill="1" applyBorder="1" applyAlignment="1" applyProtection="1">
      <alignment horizontal="left" vertical="center" wrapText="1"/>
      <protection locked="0" hidden="1"/>
    </xf>
    <xf numFmtId="49" fontId="17" fillId="2" borderId="1" xfId="0" applyNumberFormat="1" applyFont="1" applyFill="1" applyBorder="1" applyAlignment="1" applyProtection="1">
      <alignment horizontal="left" vertical="center" wrapText="1"/>
      <protection locked="0" hidden="1"/>
    </xf>
    <xf numFmtId="49" fontId="17" fillId="2" borderId="31" xfId="0" applyNumberFormat="1" applyFont="1" applyFill="1" applyBorder="1" applyAlignment="1" applyProtection="1">
      <alignment horizontal="left" vertical="center" wrapText="1"/>
      <protection locked="0" hidden="1"/>
    </xf>
    <xf numFmtId="0" fontId="17" fillId="2" borderId="53" xfId="0" applyFont="1" applyFill="1" applyBorder="1" applyAlignment="1" applyProtection="1">
      <alignment horizontal="left" vertical="center" wrapText="1"/>
      <protection locked="0" hidden="1"/>
    </xf>
    <xf numFmtId="0" fontId="17" fillId="2" borderId="1" xfId="0" applyFont="1" applyFill="1" applyBorder="1" applyAlignment="1" applyProtection="1">
      <alignment horizontal="left" vertical="center" wrapText="1"/>
      <protection locked="0" hidden="1"/>
    </xf>
    <xf numFmtId="0" fontId="17" fillId="2" borderId="31" xfId="0" applyFont="1" applyFill="1" applyBorder="1" applyAlignment="1" applyProtection="1">
      <alignment horizontal="left" vertical="center" wrapText="1"/>
      <protection locked="0" hidden="1"/>
    </xf>
    <xf numFmtId="0" fontId="19" fillId="2" borderId="0" xfId="0" applyFont="1" applyFill="1" applyBorder="1" applyAlignment="1" applyProtection="1">
      <alignment horizontal="center" wrapText="1"/>
    </xf>
    <xf numFmtId="0" fontId="11" fillId="2" borderId="18" xfId="0" applyFont="1" applyFill="1" applyBorder="1" applyAlignment="1" applyProtection="1">
      <alignment horizontal="center" wrapText="1"/>
      <protection hidden="1"/>
    </xf>
    <xf numFmtId="0" fontId="111" fillId="2" borderId="53" xfId="36" applyFont="1" applyFill="1" applyBorder="1" applyAlignment="1" applyProtection="1">
      <alignment horizontal="left" vertical="center" wrapText="1"/>
      <protection locked="0"/>
    </xf>
    <xf numFmtId="0" fontId="112" fillId="2" borderId="1" xfId="0" applyFont="1" applyFill="1" applyBorder="1" applyAlignment="1" applyProtection="1">
      <alignment horizontal="left" vertical="center" wrapText="1"/>
      <protection locked="0"/>
    </xf>
    <xf numFmtId="0" fontId="112" fillId="2" borderId="3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wrapText="1"/>
      <protection hidden="1"/>
    </xf>
    <xf numFmtId="0" fontId="109" fillId="2" borderId="53" xfId="36" applyFont="1" applyFill="1" applyBorder="1" applyAlignment="1" applyProtection="1">
      <alignment horizontal="left" vertical="center" wrapText="1"/>
      <protection locked="0" hidden="1"/>
    </xf>
    <xf numFmtId="0" fontId="109" fillId="2" borderId="1" xfId="36" applyFont="1" applyFill="1" applyBorder="1" applyAlignment="1" applyProtection="1">
      <alignment horizontal="left" vertical="center" wrapText="1"/>
      <protection locked="0" hidden="1"/>
    </xf>
    <xf numFmtId="0" fontId="109" fillId="2" borderId="31" xfId="36" applyFont="1" applyFill="1" applyBorder="1" applyAlignment="1" applyProtection="1">
      <alignment horizontal="left" vertical="center" wrapText="1"/>
      <protection locked="0" hidden="1"/>
    </xf>
    <xf numFmtId="0" fontId="16" fillId="2" borderId="18" xfId="0" applyFont="1" applyFill="1" applyBorder="1" applyAlignment="1" applyProtection="1">
      <alignment horizontal="center" vertical="top" wrapText="1"/>
      <protection hidden="1"/>
    </xf>
    <xf numFmtId="0" fontId="16" fillId="2" borderId="36" xfId="0" applyFont="1" applyFill="1" applyBorder="1" applyAlignment="1" applyProtection="1">
      <alignment horizontal="right" vertical="center"/>
      <protection hidden="1"/>
    </xf>
    <xf numFmtId="0" fontId="16" fillId="2" borderId="20"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5" fillId="2" borderId="53"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0" fontId="15" fillId="2" borderId="31" xfId="0" applyFont="1" applyFill="1" applyBorder="1" applyAlignment="1" applyProtection="1">
      <alignment horizontal="center" vertical="center"/>
      <protection hidden="1"/>
    </xf>
    <xf numFmtId="0" fontId="17" fillId="2" borderId="25" xfId="0" applyFont="1" applyFill="1" applyBorder="1" applyAlignment="1" applyProtection="1">
      <alignment horizontal="left" vertical="center" wrapText="1"/>
      <protection locked="0" hidden="1"/>
    </xf>
    <xf numFmtId="0" fontId="17" fillId="2" borderId="18" xfId="0" applyFont="1" applyFill="1" applyBorder="1" applyAlignment="1" applyProtection="1">
      <alignment horizontal="left" vertical="center" wrapText="1"/>
      <protection locked="0" hidden="1"/>
    </xf>
    <xf numFmtId="0" fontId="17" fillId="2" borderId="27" xfId="0" applyFont="1" applyFill="1" applyBorder="1" applyAlignment="1" applyProtection="1">
      <alignment horizontal="left" vertical="center" wrapText="1"/>
      <protection locked="0" hidden="1"/>
    </xf>
    <xf numFmtId="0" fontId="16" fillId="2" borderId="0" xfId="0" applyFont="1" applyFill="1" applyBorder="1" applyAlignment="1" applyProtection="1">
      <alignment horizontal="center" vertical="center" wrapText="1"/>
      <protection hidden="1"/>
    </xf>
    <xf numFmtId="0" fontId="17" fillId="2" borderId="56" xfId="0" applyFont="1" applyFill="1" applyBorder="1" applyAlignment="1" applyProtection="1">
      <alignment horizontal="left" vertical="center" wrapText="1"/>
      <protection locked="0" hidden="1"/>
    </xf>
    <xf numFmtId="0" fontId="17" fillId="2" borderId="19" xfId="0" applyFont="1" applyFill="1" applyBorder="1" applyAlignment="1" applyProtection="1">
      <alignment horizontal="left" vertical="center" wrapText="1"/>
      <protection locked="0" hidden="1"/>
    </xf>
    <xf numFmtId="0" fontId="17" fillId="2" borderId="26" xfId="0" applyFont="1" applyFill="1" applyBorder="1" applyAlignment="1" applyProtection="1">
      <alignment horizontal="left" vertical="center" wrapText="1"/>
      <protection locked="0" hidden="1"/>
    </xf>
    <xf numFmtId="0" fontId="27" fillId="0" borderId="19" xfId="36" applyFont="1" applyFill="1" applyBorder="1" applyAlignment="1" applyProtection="1">
      <alignment horizontal="center" vertical="center" wrapText="1"/>
      <protection hidden="1"/>
    </xf>
    <xf numFmtId="0" fontId="27" fillId="2" borderId="0" xfId="36" applyFont="1" applyFill="1" applyBorder="1" applyAlignment="1" applyProtection="1">
      <alignment horizontal="center" vertical="center" wrapText="1"/>
      <protection hidden="1"/>
    </xf>
    <xf numFmtId="0" fontId="110" fillId="0" borderId="25" xfId="36" applyFont="1" applyFill="1" applyBorder="1" applyAlignment="1" applyProtection="1">
      <alignment horizontal="left" vertical="center" wrapText="1"/>
      <protection hidden="1"/>
    </xf>
    <xf numFmtId="0" fontId="110" fillId="0" borderId="18" xfId="36" applyFont="1" applyFill="1" applyBorder="1" applyAlignment="1" applyProtection="1">
      <alignment horizontal="left" vertical="center" wrapText="1"/>
      <protection hidden="1"/>
    </xf>
    <xf numFmtId="0" fontId="110" fillId="0" borderId="27" xfId="36" applyFont="1" applyFill="1" applyBorder="1" applyAlignment="1" applyProtection="1">
      <alignment horizontal="left" vertical="center" wrapText="1"/>
      <protection hidden="1"/>
    </xf>
    <xf numFmtId="0" fontId="16" fillId="2" borderId="18" xfId="0" applyFont="1" applyFill="1" applyBorder="1" applyAlignment="1" applyProtection="1">
      <alignment horizontal="left" wrapText="1"/>
      <protection hidden="1"/>
    </xf>
    <xf numFmtId="0" fontId="109" fillId="0" borderId="54" xfId="0" applyNumberFormat="1" applyFont="1" applyBorder="1" applyAlignment="1" applyProtection="1">
      <alignment horizontal="left" wrapText="1"/>
      <protection locked="0" hidden="1"/>
    </xf>
    <xf numFmtId="0" fontId="109" fillId="0" borderId="55" xfId="0" applyNumberFormat="1" applyFont="1" applyBorder="1" applyAlignment="1" applyProtection="1">
      <alignment horizontal="left" wrapText="1"/>
      <protection locked="0" hidden="1"/>
    </xf>
    <xf numFmtId="0" fontId="109" fillId="0" borderId="11" xfId="0" applyNumberFormat="1" applyFont="1" applyBorder="1" applyAlignment="1" applyProtection="1">
      <alignment horizontal="left" wrapText="1"/>
      <protection locked="0" hidden="1"/>
    </xf>
    <xf numFmtId="165" fontId="16" fillId="2" borderId="25" xfId="0" applyNumberFormat="1" applyFont="1" applyFill="1" applyBorder="1" applyAlignment="1" applyProtection="1">
      <alignment horizontal="center" wrapText="1"/>
      <protection locked="0" hidden="1"/>
    </xf>
    <xf numFmtId="165" fontId="16" fillId="2" borderId="27" xfId="0" applyNumberFormat="1" applyFont="1" applyFill="1" applyBorder="1" applyAlignment="1" applyProtection="1">
      <alignment horizontal="center" wrapText="1"/>
      <protection locked="0" hidden="1"/>
    </xf>
    <xf numFmtId="0" fontId="16" fillId="2" borderId="18" xfId="0" applyFont="1" applyFill="1" applyBorder="1" applyAlignment="1" applyProtection="1">
      <alignment horizontal="center" wrapText="1"/>
      <protection hidden="1"/>
    </xf>
    <xf numFmtId="0" fontId="52" fillId="2" borderId="32" xfId="36" applyFont="1" applyFill="1" applyBorder="1" applyAlignment="1" applyProtection="1">
      <alignment horizontal="center" vertical="center"/>
      <protection hidden="1"/>
    </xf>
    <xf numFmtId="0" fontId="52" fillId="2" borderId="0" xfId="36" applyFont="1" applyFill="1" applyBorder="1" applyAlignment="1" applyProtection="1">
      <alignment horizontal="center" vertical="center"/>
      <protection hidden="1"/>
    </xf>
    <xf numFmtId="0" fontId="14" fillId="0" borderId="52" xfId="0" applyFont="1" applyBorder="1" applyAlignment="1" applyProtection="1">
      <alignment horizontal="left" vertical="center" wrapText="1"/>
      <protection hidden="1"/>
    </xf>
    <xf numFmtId="0" fontId="8" fillId="0" borderId="0" xfId="0" applyFont="1" applyAlignment="1" applyProtection="1">
      <alignment horizontal="center" wrapText="1"/>
      <protection hidden="1"/>
    </xf>
    <xf numFmtId="0" fontId="24" fillId="2" borderId="0" xfId="36"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6" fillId="2" borderId="57"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xf numFmtId="0" fontId="6" fillId="0" borderId="0" xfId="0" applyFont="1" applyFill="1" applyAlignment="1">
      <alignment horizontal="center"/>
    </xf>
  </cellXfs>
  <cellStyles count="31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ad 2 2" xfId="203"/>
    <cellStyle name="Bad 3" xfId="26"/>
    <cellStyle name="Calculation 2" xfId="27"/>
    <cellStyle name="Check Cell 2" xfId="28"/>
    <cellStyle name="Excel Built-in Normal" xfId="29"/>
    <cellStyle name="Explanatory Text 2" xfId="30"/>
    <cellStyle name="Good 2" xfId="31"/>
    <cellStyle name="Heading 1 2" xfId="32"/>
    <cellStyle name="Heading 2 2" xfId="33"/>
    <cellStyle name="Heading 3 2" xfId="34"/>
    <cellStyle name="Heading 4 2" xfId="35"/>
    <cellStyle name="Hyperlink" xfId="36" builtinId="8"/>
    <cellStyle name="Hyperlink 2" xfId="37"/>
    <cellStyle name="Hyperlink 3" xfId="38"/>
    <cellStyle name="Hyperlink 3 2" xfId="137"/>
    <cellStyle name="Hyperlink 3 2 2" xfId="204"/>
    <cellStyle name="Hyperlink 3 2 3" xfId="252"/>
    <cellStyle name="Hyperlink 4" xfId="39"/>
    <cellStyle name="Hyperlink 5" xfId="40"/>
    <cellStyle name="Hyperlink 5 2" xfId="41"/>
    <cellStyle name="Hyperlink 5 2 2" xfId="138"/>
    <cellStyle name="Hyperlink 5 2 2 2" xfId="205"/>
    <cellStyle name="Hyperlink 5 2 2 3" xfId="253"/>
    <cellStyle name="Hyperlink 6" xfId="42"/>
    <cellStyle name="Hyperlink 7" xfId="43"/>
    <cellStyle name="Input 2" xfId="44"/>
    <cellStyle name="Linked Cell 2" xfId="45"/>
    <cellStyle name="Neutral 2" xfId="46"/>
    <cellStyle name="Normal" xfId="0" builtinId="0"/>
    <cellStyle name="Normal 10" xfId="47"/>
    <cellStyle name="Normal 100" xfId="48"/>
    <cellStyle name="Normal 118" xfId="49"/>
    <cellStyle name="Normal 12" xfId="50"/>
    <cellStyle name="Normal 13" xfId="51"/>
    <cellStyle name="Normal 13 2" xfId="52"/>
    <cellStyle name="Normal 13 2 2" xfId="53"/>
    <cellStyle name="Normal 13 2 2 2" xfId="54"/>
    <cellStyle name="Normal 13 2 2 2 2" xfId="142"/>
    <cellStyle name="Normal 13 2 2 2 2 2" xfId="209"/>
    <cellStyle name="Normal 13 2 2 2 2 3" xfId="258"/>
    <cellStyle name="Normal 13 2 2 2 3" xfId="175"/>
    <cellStyle name="Normal 13 2 2 2 4" xfId="257"/>
    <cellStyle name="Normal 13 2 2 3" xfId="141"/>
    <cellStyle name="Normal 13 2 2 3 2" xfId="208"/>
    <cellStyle name="Normal 13 2 2 3 3" xfId="259"/>
    <cellStyle name="Normal 13 2 2 4" xfId="174"/>
    <cellStyle name="Normal 13 2 2 5" xfId="256"/>
    <cellStyle name="Normal 13 2 3" xfId="55"/>
    <cellStyle name="Normal 13 2 3 2" xfId="143"/>
    <cellStyle name="Normal 13 2 3 2 2" xfId="210"/>
    <cellStyle name="Normal 13 2 3 2 3" xfId="261"/>
    <cellStyle name="Normal 13 2 3 3" xfId="176"/>
    <cellStyle name="Normal 13 2 3 4" xfId="260"/>
    <cellStyle name="Normal 13 2 4" xfId="140"/>
    <cellStyle name="Normal 13 2 4 2" xfId="207"/>
    <cellStyle name="Normal 13 2 4 3" xfId="262"/>
    <cellStyle name="Normal 13 2 5" xfId="173"/>
    <cellStyle name="Normal 13 2 6" xfId="255"/>
    <cellStyle name="Normal 13 3" xfId="56"/>
    <cellStyle name="Normal 13 3 2" xfId="57"/>
    <cellStyle name="Normal 13 3 2 2" xfId="145"/>
    <cellStyle name="Normal 13 3 2 2 2" xfId="212"/>
    <cellStyle name="Normal 13 3 2 2 3" xfId="265"/>
    <cellStyle name="Normal 13 3 2 3" xfId="178"/>
    <cellStyle name="Normal 13 3 2 4" xfId="264"/>
    <cellStyle name="Normal 13 3 3" xfId="144"/>
    <cellStyle name="Normal 13 3 3 2" xfId="211"/>
    <cellStyle name="Normal 13 3 3 3" xfId="266"/>
    <cellStyle name="Normal 13 3 4" xfId="177"/>
    <cellStyle name="Normal 13 3 5" xfId="263"/>
    <cellStyle name="Normal 13 4" xfId="58"/>
    <cellStyle name="Normal 13 4 2" xfId="146"/>
    <cellStyle name="Normal 13 4 2 2" xfId="213"/>
    <cellStyle name="Normal 13 4 2 3" xfId="268"/>
    <cellStyle name="Normal 13 4 3" xfId="179"/>
    <cellStyle name="Normal 13 4 4" xfId="267"/>
    <cellStyle name="Normal 13 5" xfId="139"/>
    <cellStyle name="Normal 13 5 2" xfId="206"/>
    <cellStyle name="Normal 13 5 3" xfId="269"/>
    <cellStyle name="Normal 13 6" xfId="172"/>
    <cellStyle name="Normal 13 7" xfId="254"/>
    <cellStyle name="Normal 15" xfId="59"/>
    <cellStyle name="Normal 16" xfId="60"/>
    <cellStyle name="Normal 17" xfId="61"/>
    <cellStyle name="Normal 19" xfId="62"/>
    <cellStyle name="Normal 2" xfId="63"/>
    <cellStyle name="Normal 2 2" xfId="64"/>
    <cellStyle name="Normal 2 2 2" xfId="65"/>
    <cellStyle name="Normal 2 2 2 2" xfId="147"/>
    <cellStyle name="Normal 2 2 2 2 2" xfId="214"/>
    <cellStyle name="Normal 2 2 2 2 3" xfId="271"/>
    <cellStyle name="Normal 2 2 2 3" xfId="180"/>
    <cellStyle name="Normal 2 2 2 4" xfId="270"/>
    <cellStyle name="Normal 2 2 3" xfId="66"/>
    <cellStyle name="Normal 2 2 3 2" xfId="148"/>
    <cellStyle name="Normal 2 2 3 2 2" xfId="215"/>
    <cellStyle name="Normal 2 2 3 2 3" xfId="273"/>
    <cellStyle name="Normal 2 2 3 3" xfId="181"/>
    <cellStyle name="Normal 2 2 3 4" xfId="272"/>
    <cellStyle name="Normal 2 3" xfId="67"/>
    <cellStyle name="Normal 2 3 2" xfId="68"/>
    <cellStyle name="Normal 2 3 2 2" xfId="149"/>
    <cellStyle name="Normal 2 3 2 2 2" xfId="216"/>
    <cellStyle name="Normal 2 3 2 2 3" xfId="275"/>
    <cellStyle name="Normal 2 3 2 3" xfId="182"/>
    <cellStyle name="Normal 2 3 2 4" xfId="274"/>
    <cellStyle name="Normal 2 4" xfId="69"/>
    <cellStyle name="Normal 2 4 2" xfId="70"/>
    <cellStyle name="Normal 2 4 2 2" xfId="150"/>
    <cellStyle name="Normal 2 4 2 2 2" xfId="217"/>
    <cellStyle name="Normal 2 4 2 2 3" xfId="277"/>
    <cellStyle name="Normal 2 4 2 3" xfId="183"/>
    <cellStyle name="Normal 2 4 2 4" xfId="276"/>
    <cellStyle name="Normal 2 5" xfId="71"/>
    <cellStyle name="Normal 2 5 2" xfId="151"/>
    <cellStyle name="Normal 23" xfId="72"/>
    <cellStyle name="Normal 3" xfId="73"/>
    <cellStyle name="Normal 3 2" xfId="74"/>
    <cellStyle name="Normal 3 2 11" xfId="75"/>
    <cellStyle name="Normal 3 2 2" xfId="152"/>
    <cellStyle name="Normal 3 2 2 2" xfId="219"/>
    <cellStyle name="Normal 3 2 2 3" xfId="279"/>
    <cellStyle name="Normal 3 2 3" xfId="184"/>
    <cellStyle name="Normal 3 2 4" xfId="278"/>
    <cellStyle name="Normal 3 3" xfId="76"/>
    <cellStyle name="Normal 3 3 2" xfId="220"/>
    <cellStyle name="Normal 3 4" xfId="77"/>
    <cellStyle name="Normal 3 4 2" xfId="153"/>
    <cellStyle name="Normal 3 4 2 2" xfId="221"/>
    <cellStyle name="Normal 3 4 2 3" xfId="281"/>
    <cellStyle name="Normal 3 4 3" xfId="185"/>
    <cellStyle name="Normal 3 4 4" xfId="280"/>
    <cellStyle name="Normal 3 5" xfId="218"/>
    <cellStyle name="Normal 3 8" xfId="78"/>
    <cellStyle name="Normal 3 8 2" xfId="79"/>
    <cellStyle name="Normal 3 8 2 2" xfId="80"/>
    <cellStyle name="Normal 3 8 2 2 2" xfId="156"/>
    <cellStyle name="Normal 3 8 2 2 2 2" xfId="224"/>
    <cellStyle name="Normal 3 8 2 2 2 3" xfId="285"/>
    <cellStyle name="Normal 3 8 2 2 3" xfId="188"/>
    <cellStyle name="Normal 3 8 2 2 4" xfId="284"/>
    <cellStyle name="Normal 3 8 2 3" xfId="155"/>
    <cellStyle name="Normal 3 8 2 3 2" xfId="223"/>
    <cellStyle name="Normal 3 8 2 3 3" xfId="286"/>
    <cellStyle name="Normal 3 8 2 4" xfId="187"/>
    <cellStyle name="Normal 3 8 2 5" xfId="283"/>
    <cellStyle name="Normal 3 8 3" xfId="81"/>
    <cellStyle name="Normal 3 8 3 2" xfId="157"/>
    <cellStyle name="Normal 3 8 3 2 2" xfId="225"/>
    <cellStyle name="Normal 3 8 3 2 3" xfId="288"/>
    <cellStyle name="Normal 3 8 3 3" xfId="189"/>
    <cellStyle name="Normal 3 8 3 4" xfId="287"/>
    <cellStyle name="Normal 3 8 4" xfId="154"/>
    <cellStyle name="Normal 3 8 4 2" xfId="222"/>
    <cellStyle name="Normal 3 8 4 3" xfId="289"/>
    <cellStyle name="Normal 3 8 5" xfId="186"/>
    <cellStyle name="Normal 3 8 6" xfId="282"/>
    <cellStyle name="Normal 4" xfId="82"/>
    <cellStyle name="Normal 4 2" xfId="83"/>
    <cellStyle name="Normal 4 2 2" xfId="158"/>
    <cellStyle name="Normal 4 2 2 2" xfId="226"/>
    <cellStyle name="Normal 4 2 2 3" xfId="291"/>
    <cellStyle name="Normal 4 2 3" xfId="190"/>
    <cellStyle name="Normal 4 2 4" xfId="290"/>
    <cellStyle name="Normal 4 3" xfId="84"/>
    <cellStyle name="Normal 4 4" xfId="85"/>
    <cellStyle name="Normal 4 4 2" xfId="159"/>
    <cellStyle name="Normal 4 4 2 2" xfId="227"/>
    <cellStyle name="Normal 4 4 2 3" xfId="293"/>
    <cellStyle name="Normal 4 4 3" xfId="191"/>
    <cellStyle name="Normal 4 4 4" xfId="292"/>
    <cellStyle name="Normal 416" xfId="86"/>
    <cellStyle name="Normal 417" xfId="87"/>
    <cellStyle name="Normal 428" xfId="88"/>
    <cellStyle name="Normal 429" xfId="89"/>
    <cellStyle name="Normal 486" xfId="90"/>
    <cellStyle name="Normal 487" xfId="91"/>
    <cellStyle name="Normal 489" xfId="92"/>
    <cellStyle name="Normal 490" xfId="93"/>
    <cellStyle name="Normal 5" xfId="94"/>
    <cellStyle name="Normal 5 2" xfId="95"/>
    <cellStyle name="Normal 5 2 2" xfId="229"/>
    <cellStyle name="Normal 5 3" xfId="96"/>
    <cellStyle name="Normal 5 3 2" xfId="160"/>
    <cellStyle name="Normal 5 3 2 2" xfId="230"/>
    <cellStyle name="Normal 5 3 2 3" xfId="295"/>
    <cellStyle name="Normal 5 3 3" xfId="192"/>
    <cellStyle name="Normal 5 3 4" xfId="294"/>
    <cellStyle name="Normal 5 4" xfId="228"/>
    <cellStyle name="Normal 506" xfId="97"/>
    <cellStyle name="Normal 516" xfId="98"/>
    <cellStyle name="Normal 517" xfId="99"/>
    <cellStyle name="Normal 53" xfId="100"/>
    <cellStyle name="Normal 54" xfId="101"/>
    <cellStyle name="Normal 542" xfId="102"/>
    <cellStyle name="Normal 543" xfId="103"/>
    <cellStyle name="Normal 544" xfId="104"/>
    <cellStyle name="Normal 547" xfId="105"/>
    <cellStyle name="Normal 548" xfId="106"/>
    <cellStyle name="Normal 550" xfId="107"/>
    <cellStyle name="Normal 571" xfId="108"/>
    <cellStyle name="Normal 572" xfId="109"/>
    <cellStyle name="Normal 6" xfId="110"/>
    <cellStyle name="Normal 6 2" xfId="111"/>
    <cellStyle name="Normal 6 2 2" xfId="162"/>
    <cellStyle name="Normal 6 2 2 2" xfId="232"/>
    <cellStyle name="Normal 6 2 2 3" xfId="298"/>
    <cellStyle name="Normal 6 2 3" xfId="194"/>
    <cellStyle name="Normal 6 2 4" xfId="297"/>
    <cellStyle name="Normal 6 3" xfId="112"/>
    <cellStyle name="Normal 6 4" xfId="161"/>
    <cellStyle name="Normal 6 4 2" xfId="231"/>
    <cellStyle name="Normal 6 4 3" xfId="299"/>
    <cellStyle name="Normal 6 5" xfId="193"/>
    <cellStyle name="Normal 6 6" xfId="296"/>
    <cellStyle name="Normal 7" xfId="113"/>
    <cellStyle name="Normal 7 2" xfId="114"/>
    <cellStyle name="Normal 7 2 2" xfId="163"/>
    <cellStyle name="Normal 7 2 2 2" xfId="233"/>
    <cellStyle name="Normal 7 2 2 3" xfId="300"/>
    <cellStyle name="Normal_Sheet1" xfId="115"/>
    <cellStyle name="Note 2" xfId="116"/>
    <cellStyle name="Output 2" xfId="117"/>
    <cellStyle name="Standard 3" xfId="118"/>
    <cellStyle name="Standard 4" xfId="119"/>
    <cellStyle name="Standard 4 2" xfId="120"/>
    <cellStyle name="Standard 4 2 2" xfId="121"/>
    <cellStyle name="Standard 4 2 2 2" xfId="122"/>
    <cellStyle name="Standard 4 2 2 2 2" xfId="167"/>
    <cellStyle name="Standard 4 2 2 2 2 2" xfId="237"/>
    <cellStyle name="Standard 4 2 2 2 2 3" xfId="305"/>
    <cellStyle name="Standard 4 2 2 2 3" xfId="198"/>
    <cellStyle name="Standard 4 2 2 2 4" xfId="304"/>
    <cellStyle name="Standard 4 2 2 3" xfId="166"/>
    <cellStyle name="Standard 4 2 2 3 2" xfId="236"/>
    <cellStyle name="Standard 4 2 2 3 3" xfId="306"/>
    <cellStyle name="Standard 4 2 2 4" xfId="197"/>
    <cellStyle name="Standard 4 2 2 5" xfId="303"/>
    <cellStyle name="Standard 4 2 3" xfId="123"/>
    <cellStyle name="Standard 4 2 3 2" xfId="168"/>
    <cellStyle name="Standard 4 2 3 2 2" xfId="238"/>
    <cellStyle name="Standard 4 2 3 2 3" xfId="308"/>
    <cellStyle name="Standard 4 2 3 3" xfId="199"/>
    <cellStyle name="Standard 4 2 3 4" xfId="307"/>
    <cellStyle name="Standard 4 2 4" xfId="165"/>
    <cellStyle name="Standard 4 2 4 2" xfId="235"/>
    <cellStyle name="Standard 4 2 4 3" xfId="309"/>
    <cellStyle name="Standard 4 2 5" xfId="196"/>
    <cellStyle name="Standard 4 2 6" xfId="302"/>
    <cellStyle name="Standard 4 3" xfId="124"/>
    <cellStyle name="Standard 4 3 2" xfId="125"/>
    <cellStyle name="Standard 4 3 2 2" xfId="170"/>
    <cellStyle name="Standard 4 3 2 2 2" xfId="240"/>
    <cellStyle name="Standard 4 3 2 2 3" xfId="312"/>
    <cellStyle name="Standard 4 3 2 3" xfId="201"/>
    <cellStyle name="Standard 4 3 2 4" xfId="311"/>
    <cellStyle name="Standard 4 3 3" xfId="169"/>
    <cellStyle name="Standard 4 3 3 2" xfId="239"/>
    <cellStyle name="Standard 4 3 3 3" xfId="313"/>
    <cellStyle name="Standard 4 3 4" xfId="200"/>
    <cellStyle name="Standard 4 3 5" xfId="310"/>
    <cellStyle name="Standard 4 4" xfId="126"/>
    <cellStyle name="Standard 4 4 2" xfId="171"/>
    <cellStyle name="Standard 4 4 2 2" xfId="241"/>
    <cellStyle name="Standard 4 4 2 3" xfId="315"/>
    <cellStyle name="Standard 4 4 3" xfId="202"/>
    <cellStyle name="Standard 4 4 4" xfId="314"/>
    <cellStyle name="Standard 4 5" xfId="164"/>
    <cellStyle name="Standard 4 5 2" xfId="234"/>
    <cellStyle name="Standard 4 5 3" xfId="316"/>
    <cellStyle name="Standard 4 6" xfId="195"/>
    <cellStyle name="Standard 4 7" xfId="301"/>
    <cellStyle name="Standard 6" xfId="127"/>
    <cellStyle name="Title 2" xfId="128"/>
    <cellStyle name="Total 2" xfId="129"/>
    <cellStyle name="Warning Text 2" xfId="130"/>
    <cellStyle name="표준 2" xfId="131"/>
    <cellStyle name="표준 2 2" xfId="242"/>
    <cellStyle name="표준 2 3" xfId="243"/>
    <cellStyle name="표준 2 4" xfId="244"/>
    <cellStyle name="표준 2 5" xfId="245"/>
    <cellStyle name="표준 2 6" xfId="246"/>
    <cellStyle name="표준 3" xfId="247"/>
    <cellStyle name="표준 4" xfId="248"/>
    <cellStyle name="표준 5" xfId="249"/>
    <cellStyle name="표준 6" xfId="250"/>
    <cellStyle name="표준 7" xfId="251"/>
    <cellStyle name="一般 7" xfId="132"/>
    <cellStyle name="標準 2" xfId="133"/>
    <cellStyle name="標準 2 2" xfId="134"/>
    <cellStyle name="標準 2 3" xfId="135"/>
    <cellStyle name="標準_Sheet1" xfId="136"/>
  </cellStyles>
  <dxfs count="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color theme="1"/>
      </font>
      <fill>
        <patternFill>
          <bgColor rgb="FF92D050"/>
        </patternFill>
      </fill>
    </dxf>
    <dxf>
      <font>
        <color theme="0" tint="-0.24994659260841701"/>
      </font>
      <fill>
        <patternFill patternType="none">
          <bgColor indexed="65"/>
        </patternFill>
      </fill>
    </dxf>
    <dxf>
      <font>
        <color auto="1"/>
      </font>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ill>
        <patternFill>
          <bgColor rgb="FFFFFF00"/>
        </patternFill>
      </fill>
    </dxf>
    <dxf>
      <fill>
        <patternFill>
          <bgColor rgb="FFFF0000"/>
        </patternFill>
      </fill>
    </dxf>
    <dxf>
      <font>
        <condense val="0"/>
        <extend val="0"/>
        <color indexed="10"/>
      </font>
    </dxf>
    <dxf>
      <font>
        <condense val="0"/>
        <extend val="0"/>
        <color auto="1"/>
      </font>
      <fill>
        <patternFill>
          <bgColor indexed="10"/>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70676" name="図 2">
          <a:extLst>
            <a:ext uri="{FF2B5EF4-FFF2-40B4-BE49-F238E27FC236}">
              <a16:creationId xmlns:a16="http://schemas.microsoft.com/office/drawing/2014/main" id="{287BEF55-3A41-43A1-BB53-9AA2D5FC64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0</xdr:rowOff>
    </xdr:from>
    <xdr:to>
      <xdr:col>0</xdr:col>
      <xdr:colOff>9305925</xdr:colOff>
      <xdr:row>0</xdr:row>
      <xdr:rowOff>1238250</xdr:rowOff>
    </xdr:to>
    <xdr:pic>
      <xdr:nvPicPr>
        <xdr:cNvPr id="71700" name="Picture 1">
          <a:extLst>
            <a:ext uri="{FF2B5EF4-FFF2-40B4-BE49-F238E27FC236}">
              <a16:creationId xmlns:a16="http://schemas.microsoft.com/office/drawing/2014/main" id="{64B4C47E-04DC-4579-B918-BB971ED09B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0"/>
          <a:ext cx="11620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838200</xdr:rowOff>
    </xdr:to>
    <xdr:pic>
      <xdr:nvPicPr>
        <xdr:cNvPr id="72724" name="Picture 1">
          <a:extLst>
            <a:ext uri="{FF2B5EF4-FFF2-40B4-BE49-F238E27FC236}">
              <a16:creationId xmlns:a16="http://schemas.microsoft.com/office/drawing/2014/main" id="{C7424079-92AF-462C-8F3C-06565065EA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5249" name="図 10">
          <a:extLst>
            <a:ext uri="{FF2B5EF4-FFF2-40B4-BE49-F238E27FC236}">
              <a16:creationId xmlns:a16="http://schemas.microsoft.com/office/drawing/2014/main" id="{C958AD3A-2564-44E8-BE2D-BCB3F66C27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400050</xdr:colOff>
      <xdr:row>2</xdr:row>
      <xdr:rowOff>1304925</xdr:rowOff>
    </xdr:to>
    <xdr:pic>
      <xdr:nvPicPr>
        <xdr:cNvPr id="73748" name="図 2">
          <a:extLst>
            <a:ext uri="{FF2B5EF4-FFF2-40B4-BE49-F238E27FC236}">
              <a16:creationId xmlns:a16="http://schemas.microsoft.com/office/drawing/2014/main" id="{E7ED0696-C846-46A0-AE28-C7EA5B00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2225"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12</xdr:col>
      <xdr:colOff>76200</xdr:colOff>
      <xdr:row>3</xdr:row>
      <xdr:rowOff>38100</xdr:rowOff>
    </xdr:to>
    <xdr:pic>
      <xdr:nvPicPr>
        <xdr:cNvPr id="74772" name="Picture 1">
          <a:extLst>
            <a:ext uri="{FF2B5EF4-FFF2-40B4-BE49-F238E27FC236}">
              <a16:creationId xmlns:a16="http://schemas.microsoft.com/office/drawing/2014/main" id="{4D67B6D7-B0E8-4071-9DEB-B3FFC6FF8C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429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75796" name="図 3">
          <a:extLst>
            <a:ext uri="{FF2B5EF4-FFF2-40B4-BE49-F238E27FC236}">
              <a16:creationId xmlns:a16="http://schemas.microsoft.com/office/drawing/2014/main" id="{00B7910B-3F76-4D3F-9B17-BEEF1DACDB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conflict-free-smelter-refiner-list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6"/>
  <sheetViews>
    <sheetView showGridLines="0" topLeftCell="A2" zoomScaleNormal="100" workbookViewId="0">
      <pane xSplit="1" ySplit="11" topLeftCell="B44" activePane="bottomRight" state="frozen"/>
      <selection activeCell="A2" sqref="A2"/>
      <selection pane="topRight" activeCell="B2" sqref="B2"/>
      <selection pane="bottomLeft" activeCell="A13" sqref="A13"/>
      <selection pane="bottomRight" activeCell="E44" sqref="E44"/>
    </sheetView>
  </sheetViews>
  <sheetFormatPr defaultRowHeight="12.75"/>
  <cols>
    <col min="1" max="1" width="0.875" style="125" customWidth="1"/>
    <col min="2" max="2" width="6.875" style="125" customWidth="1"/>
    <col min="3" max="3" width="8.5" style="125" customWidth="1"/>
    <col min="4" max="4" width="13" style="290" customWidth="1"/>
    <col min="5" max="5" width="42.375" style="125" customWidth="1"/>
    <col min="6" max="6" width="53.375" style="125" customWidth="1"/>
    <col min="7" max="7" width="0.875" style="125" customWidth="1"/>
    <col min="8" max="16384" width="9" style="125"/>
  </cols>
  <sheetData>
    <row r="1" spans="1:7" ht="13.5" thickTop="1">
      <c r="A1" s="9"/>
      <c r="B1" s="10"/>
      <c r="C1" s="10"/>
      <c r="D1" s="282"/>
      <c r="E1" s="10"/>
      <c r="F1" s="10"/>
      <c r="G1" s="11"/>
    </row>
    <row r="2" spans="1:7">
      <c r="A2" s="316"/>
      <c r="B2" s="38" t="s">
        <v>1486</v>
      </c>
      <c r="C2" s="36"/>
      <c r="D2" s="283"/>
      <c r="E2" s="3"/>
      <c r="F2" s="36"/>
      <c r="G2" s="34"/>
    </row>
    <row r="3" spans="1:7">
      <c r="A3" s="316"/>
      <c r="B3" s="5" t="s">
        <v>1475</v>
      </c>
      <c r="C3" s="6"/>
      <c r="D3" s="284"/>
      <c r="E3" s="3"/>
      <c r="F3" s="6"/>
      <c r="G3" s="34"/>
    </row>
    <row r="4" spans="1:7" ht="15.75">
      <c r="A4" s="316"/>
      <c r="B4" s="41" t="s">
        <v>1488</v>
      </c>
      <c r="C4" s="7"/>
      <c r="D4" s="285"/>
      <c r="E4" s="3"/>
      <c r="F4" s="7"/>
      <c r="G4" s="34"/>
    </row>
    <row r="5" spans="1:7">
      <c r="A5" s="316"/>
      <c r="B5" s="40" t="s">
        <v>1931</v>
      </c>
      <c r="C5" s="4"/>
      <c r="D5" s="286"/>
      <c r="E5" s="3"/>
      <c r="F5" s="4"/>
      <c r="G5" s="34"/>
    </row>
    <row r="6" spans="1:7">
      <c r="A6" s="316"/>
      <c r="B6" s="8"/>
      <c r="C6" s="8"/>
      <c r="D6" s="287"/>
      <c r="E6" s="8"/>
      <c r="F6" s="8"/>
      <c r="G6" s="34"/>
    </row>
    <row r="7" spans="1:7">
      <c r="A7" s="316"/>
      <c r="B7" s="8"/>
      <c r="C7" s="8"/>
      <c r="D7" s="287"/>
      <c r="E7" s="8"/>
      <c r="F7" s="8"/>
      <c r="G7" s="34"/>
    </row>
    <row r="8" spans="1:7">
      <c r="A8" s="316"/>
      <c r="B8" s="8"/>
      <c r="C8" s="8"/>
      <c r="D8" s="287"/>
      <c r="E8" s="8"/>
      <c r="F8" s="8"/>
      <c r="G8" s="34"/>
    </row>
    <row r="9" spans="1:7">
      <c r="A9" s="316"/>
      <c r="B9" s="319" t="s">
        <v>1489</v>
      </c>
      <c r="C9" s="319"/>
      <c r="D9" s="319"/>
      <c r="E9" s="319"/>
      <c r="F9" s="319"/>
      <c r="G9" s="34"/>
    </row>
    <row r="10" spans="1:7" ht="27" customHeight="1">
      <c r="A10" s="316"/>
      <c r="B10" s="320" t="s">
        <v>847</v>
      </c>
      <c r="C10" s="320"/>
      <c r="D10" s="320"/>
      <c r="E10" s="320"/>
      <c r="F10" s="320"/>
      <c r="G10" s="34"/>
    </row>
    <row r="11" spans="1:7" ht="27" customHeight="1">
      <c r="A11" s="316"/>
      <c r="B11" s="321"/>
      <c r="C11" s="321"/>
      <c r="D11" s="321"/>
      <c r="E11" s="321"/>
      <c r="F11" s="321"/>
      <c r="G11" s="34"/>
    </row>
    <row r="12" spans="1:7" ht="16.5">
      <c r="A12" s="316"/>
      <c r="B12" s="42" t="s">
        <v>1487</v>
      </c>
      <c r="C12" s="43" t="s">
        <v>1490</v>
      </c>
      <c r="D12" s="288" t="s">
        <v>1491</v>
      </c>
      <c r="E12" s="43" t="s">
        <v>1155</v>
      </c>
      <c r="F12" s="43" t="s">
        <v>1156</v>
      </c>
      <c r="G12" s="34"/>
    </row>
    <row r="13" spans="1:7" ht="33.75">
      <c r="A13" s="316"/>
      <c r="B13" s="2">
        <v>1</v>
      </c>
      <c r="C13" s="37" t="s">
        <v>2008</v>
      </c>
      <c r="D13" s="39" t="s">
        <v>1525</v>
      </c>
      <c r="E13" s="249" t="s">
        <v>1492</v>
      </c>
      <c r="F13" s="249"/>
      <c r="G13" s="34"/>
    </row>
    <row r="14" spans="1:7" ht="33.75">
      <c r="A14" s="316"/>
      <c r="B14" s="2">
        <v>2</v>
      </c>
      <c r="C14" s="37" t="s">
        <v>2008</v>
      </c>
      <c r="D14" s="39" t="s">
        <v>1910</v>
      </c>
      <c r="E14" s="249" t="s">
        <v>954</v>
      </c>
      <c r="F14" s="249" t="s">
        <v>955</v>
      </c>
      <c r="G14" s="34"/>
    </row>
    <row r="15" spans="1:7" ht="88.9" customHeight="1">
      <c r="A15" s="316"/>
      <c r="B15" s="322">
        <v>2.0099999999999998</v>
      </c>
      <c r="C15" s="313" t="s">
        <v>2008</v>
      </c>
      <c r="D15" s="325" t="s">
        <v>4215</v>
      </c>
      <c r="E15" s="250" t="s">
        <v>1157</v>
      </c>
      <c r="F15" s="250" t="s">
        <v>1160</v>
      </c>
      <c r="G15" s="34"/>
    </row>
    <row r="16" spans="1:7" ht="99" customHeight="1">
      <c r="A16" s="316"/>
      <c r="B16" s="323"/>
      <c r="C16" s="314"/>
      <c r="D16" s="326"/>
      <c r="E16" s="251"/>
      <c r="F16" s="251" t="s">
        <v>1158</v>
      </c>
      <c r="G16" s="34"/>
    </row>
    <row r="17" spans="1:7" ht="63" customHeight="1">
      <c r="A17" s="316"/>
      <c r="B17" s="324"/>
      <c r="C17" s="315"/>
      <c r="D17" s="327"/>
      <c r="E17" s="37"/>
      <c r="F17" s="37" t="s">
        <v>1159</v>
      </c>
      <c r="G17" s="34"/>
    </row>
    <row r="18" spans="1:7" ht="117" customHeight="1">
      <c r="A18" s="316"/>
      <c r="B18" s="322">
        <v>2.02</v>
      </c>
      <c r="C18" s="313" t="s">
        <v>2008</v>
      </c>
      <c r="D18" s="325" t="s">
        <v>4216</v>
      </c>
      <c r="E18" s="250" t="s">
        <v>848</v>
      </c>
      <c r="F18" s="250" t="s">
        <v>948</v>
      </c>
      <c r="G18" s="34"/>
    </row>
    <row r="19" spans="1:7" ht="70.900000000000006" customHeight="1">
      <c r="A19" s="316"/>
      <c r="B19" s="323"/>
      <c r="C19" s="314"/>
      <c r="D19" s="326"/>
      <c r="E19" s="251" t="s">
        <v>953</v>
      </c>
      <c r="F19" s="251" t="s">
        <v>849</v>
      </c>
      <c r="G19" s="34"/>
    </row>
    <row r="20" spans="1:7" ht="90.75" customHeight="1">
      <c r="A20" s="316"/>
      <c r="B20" s="323"/>
      <c r="C20" s="314"/>
      <c r="D20" s="326"/>
      <c r="E20" s="251"/>
      <c r="F20" s="251" t="s">
        <v>1162</v>
      </c>
      <c r="G20" s="34"/>
    </row>
    <row r="21" spans="1:7" ht="74.25" customHeight="1">
      <c r="A21" s="316"/>
      <c r="B21" s="324"/>
      <c r="C21" s="315"/>
      <c r="D21" s="327"/>
      <c r="E21" s="37"/>
      <c r="F21" s="37" t="s">
        <v>1161</v>
      </c>
      <c r="G21" s="34"/>
    </row>
    <row r="22" spans="1:7" ht="90" customHeight="1">
      <c r="A22" s="316"/>
      <c r="B22" s="307">
        <v>2.0299999999999998</v>
      </c>
      <c r="C22" s="307" t="s">
        <v>1446</v>
      </c>
      <c r="D22" s="310" t="s">
        <v>4217</v>
      </c>
      <c r="E22" s="313" t="s">
        <v>846</v>
      </c>
      <c r="F22" s="250" t="s">
        <v>873</v>
      </c>
      <c r="G22" s="34"/>
    </row>
    <row r="23" spans="1:7" ht="109.5" customHeight="1">
      <c r="A23" s="316"/>
      <c r="B23" s="308"/>
      <c r="C23" s="308"/>
      <c r="D23" s="311"/>
      <c r="E23" s="314"/>
      <c r="F23" s="251" t="s">
        <v>1447</v>
      </c>
      <c r="G23" s="34"/>
    </row>
    <row r="24" spans="1:7" ht="74.25" customHeight="1">
      <c r="A24" s="316"/>
      <c r="B24" s="309"/>
      <c r="C24" s="309"/>
      <c r="D24" s="312"/>
      <c r="E24" s="315"/>
      <c r="F24" s="37" t="s">
        <v>845</v>
      </c>
      <c r="G24" s="34"/>
    </row>
    <row r="25" spans="1:7" ht="72" customHeight="1">
      <c r="A25" s="316"/>
      <c r="B25" s="2" t="s">
        <v>871</v>
      </c>
      <c r="C25" s="37" t="s">
        <v>872</v>
      </c>
      <c r="D25" s="39" t="s">
        <v>4218</v>
      </c>
      <c r="E25" s="37" t="s">
        <v>4211</v>
      </c>
      <c r="F25" s="37" t="s">
        <v>874</v>
      </c>
      <c r="G25" s="34"/>
    </row>
    <row r="26" spans="1:7" ht="97.9" customHeight="1">
      <c r="A26" s="316"/>
      <c r="B26" s="328">
        <v>3</v>
      </c>
      <c r="C26" s="322" t="s">
        <v>92</v>
      </c>
      <c r="D26" s="325" t="s">
        <v>4219</v>
      </c>
      <c r="E26" s="313" t="s">
        <v>0</v>
      </c>
      <c r="F26" s="250" t="s">
        <v>86</v>
      </c>
      <c r="G26" s="34"/>
    </row>
    <row r="27" spans="1:7" ht="90" customHeight="1">
      <c r="A27" s="316"/>
      <c r="B27" s="329"/>
      <c r="C27" s="323"/>
      <c r="D27" s="326"/>
      <c r="E27" s="314"/>
      <c r="F27" s="251" t="s">
        <v>81</v>
      </c>
      <c r="G27" s="34"/>
    </row>
    <row r="28" spans="1:7" ht="19.149999999999999" customHeight="1">
      <c r="A28" s="316"/>
      <c r="B28" s="329"/>
      <c r="C28" s="323"/>
      <c r="D28" s="326"/>
      <c r="E28" s="314"/>
      <c r="F28" s="251" t="s">
        <v>82</v>
      </c>
      <c r="G28" s="34"/>
    </row>
    <row r="29" spans="1:7" ht="74.45" customHeight="1">
      <c r="A29" s="316"/>
      <c r="B29" s="329"/>
      <c r="C29" s="323"/>
      <c r="D29" s="326"/>
      <c r="E29" s="314"/>
      <c r="F29" s="251" t="s">
        <v>83</v>
      </c>
      <c r="G29" s="34"/>
    </row>
    <row r="30" spans="1:7" ht="62.45" customHeight="1">
      <c r="A30" s="316"/>
      <c r="B30" s="329"/>
      <c r="C30" s="323"/>
      <c r="D30" s="326"/>
      <c r="E30" s="314"/>
      <c r="F30" s="251" t="s">
        <v>84</v>
      </c>
      <c r="G30" s="34"/>
    </row>
    <row r="31" spans="1:7" ht="81" customHeight="1">
      <c r="A31" s="316"/>
      <c r="B31" s="329"/>
      <c r="C31" s="323"/>
      <c r="D31" s="326"/>
      <c r="E31" s="314"/>
      <c r="F31" s="251" t="s">
        <v>85</v>
      </c>
      <c r="G31" s="34"/>
    </row>
    <row r="32" spans="1:7" ht="48.6" customHeight="1">
      <c r="A32" s="316"/>
      <c r="B32" s="329"/>
      <c r="C32" s="323"/>
      <c r="D32" s="326"/>
      <c r="E32" s="314"/>
      <c r="F32" s="251" t="s">
        <v>88</v>
      </c>
      <c r="G32" s="34"/>
    </row>
    <row r="33" spans="1:7" ht="98.45" customHeight="1">
      <c r="A33" s="316"/>
      <c r="B33" s="329"/>
      <c r="C33" s="323"/>
      <c r="D33" s="326"/>
      <c r="E33" s="314"/>
      <c r="F33" s="251" t="s">
        <v>87</v>
      </c>
      <c r="G33" s="34"/>
    </row>
    <row r="34" spans="1:7" ht="88.9" customHeight="1">
      <c r="A34" s="316"/>
      <c r="B34" s="329"/>
      <c r="C34" s="323"/>
      <c r="D34" s="326"/>
      <c r="E34" s="314"/>
      <c r="F34" s="251" t="s">
        <v>89</v>
      </c>
      <c r="G34" s="34"/>
    </row>
    <row r="35" spans="1:7" ht="28.9" customHeight="1">
      <c r="A35" s="316"/>
      <c r="B35" s="329"/>
      <c r="C35" s="323"/>
      <c r="D35" s="326"/>
      <c r="E35" s="314"/>
      <c r="F35" s="251" t="s">
        <v>90</v>
      </c>
      <c r="G35" s="34"/>
    </row>
    <row r="36" spans="1:7" ht="126.75">
      <c r="A36" s="316"/>
      <c r="B36" s="330"/>
      <c r="C36" s="324"/>
      <c r="D36" s="327"/>
      <c r="E36" s="315"/>
      <c r="F36" s="252" t="s">
        <v>91</v>
      </c>
      <c r="G36" s="34"/>
    </row>
    <row r="37" spans="1:7" ht="123.75">
      <c r="A37" s="316"/>
      <c r="B37" s="191">
        <v>3.01</v>
      </c>
      <c r="C37" s="192" t="s">
        <v>92</v>
      </c>
      <c r="D37" s="39" t="s">
        <v>4220</v>
      </c>
      <c r="E37" s="253" t="s">
        <v>2544</v>
      </c>
      <c r="F37" s="254" t="s">
        <v>2713</v>
      </c>
      <c r="G37" s="34"/>
    </row>
    <row r="38" spans="1:7" ht="112.5">
      <c r="A38" s="316"/>
      <c r="B38" s="191">
        <v>3.02</v>
      </c>
      <c r="C38" s="192" t="s">
        <v>2594</v>
      </c>
      <c r="D38" s="39" t="s">
        <v>4221</v>
      </c>
      <c r="E38" s="253" t="s">
        <v>2615</v>
      </c>
      <c r="F38" s="254" t="s">
        <v>2714</v>
      </c>
      <c r="G38" s="34"/>
    </row>
    <row r="39" spans="1:7" ht="101.25">
      <c r="A39" s="316"/>
      <c r="B39" s="213">
        <v>4</v>
      </c>
      <c r="C39" s="212" t="s">
        <v>3031</v>
      </c>
      <c r="D39" s="39" t="s">
        <v>4222</v>
      </c>
      <c r="E39" s="37" t="s">
        <v>4138</v>
      </c>
      <c r="F39" s="37" t="s">
        <v>3032</v>
      </c>
      <c r="G39" s="34"/>
    </row>
    <row r="40" spans="1:7" ht="56.25">
      <c r="A40" s="316"/>
      <c r="B40" s="191">
        <v>4.01</v>
      </c>
      <c r="C40" s="212" t="s">
        <v>3031</v>
      </c>
      <c r="D40" s="39" t="s">
        <v>4224</v>
      </c>
      <c r="E40" s="37" t="s">
        <v>4167</v>
      </c>
      <c r="F40" s="37" t="s">
        <v>4173</v>
      </c>
      <c r="G40" s="34"/>
    </row>
    <row r="41" spans="1:7" ht="56.25">
      <c r="A41" s="316"/>
      <c r="B41" s="191" t="s">
        <v>4209</v>
      </c>
      <c r="C41" s="212" t="s">
        <v>3031</v>
      </c>
      <c r="D41" s="39" t="s">
        <v>4223</v>
      </c>
      <c r="E41" s="37" t="s">
        <v>4212</v>
      </c>
      <c r="F41" s="37" t="s">
        <v>4210</v>
      </c>
      <c r="G41" s="34"/>
    </row>
    <row r="42" spans="1:7" ht="56.25">
      <c r="A42" s="316"/>
      <c r="B42" s="191" t="s">
        <v>4269</v>
      </c>
      <c r="C42" s="212" t="s">
        <v>3031</v>
      </c>
      <c r="D42" s="39" t="s">
        <v>4541</v>
      </c>
      <c r="E42" s="37" t="s">
        <v>4211</v>
      </c>
      <c r="F42" s="37" t="s">
        <v>4270</v>
      </c>
      <c r="G42" s="34"/>
    </row>
    <row r="43" spans="1:7" ht="123.75">
      <c r="A43" s="316"/>
      <c r="B43" s="241">
        <v>4.0999999999999996</v>
      </c>
      <c r="C43" s="212" t="s">
        <v>4540</v>
      </c>
      <c r="D43" s="242">
        <v>42489</v>
      </c>
      <c r="E43" s="255" t="s">
        <v>4543</v>
      </c>
      <c r="F43" s="37" t="s">
        <v>4542</v>
      </c>
      <c r="G43" s="34"/>
    </row>
    <row r="44" spans="1:7" ht="78.75">
      <c r="A44" s="316"/>
      <c r="B44" s="241">
        <v>4.2</v>
      </c>
      <c r="C44" s="212" t="s">
        <v>4540</v>
      </c>
      <c r="D44" s="242">
        <v>42704</v>
      </c>
      <c r="E44" s="255" t="s">
        <v>4990</v>
      </c>
      <c r="F44" s="37" t="s">
        <v>4929</v>
      </c>
      <c r="G44" s="34"/>
    </row>
    <row r="45" spans="1:7" ht="13.5" thickBot="1">
      <c r="A45" s="317"/>
      <c r="B45" s="318" t="str">
        <f ca="1">OFFSET(L!$C$1,MATCH("General"&amp;"Cpy",L!$A:$A,0)-1,SL,,)</f>
        <v>© 2016 Conflict-Free Sourcing Initiative. All rights reserved.</v>
      </c>
      <c r="C45" s="318"/>
      <c r="D45" s="318"/>
      <c r="E45" s="318"/>
      <c r="F45" s="318"/>
      <c r="G45" s="35"/>
    </row>
    <row r="46" spans="1:7" ht="13.5" thickTop="1">
      <c r="A46" s="131"/>
      <c r="B46" s="132"/>
      <c r="C46" s="132"/>
      <c r="D46" s="289"/>
      <c r="E46" s="132"/>
      <c r="F46" s="132"/>
      <c r="G46" s="132"/>
    </row>
  </sheetData>
  <sheetProtection password="E985" sheet="1" formatColumns="0"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C26:C36"/>
    <mergeCell ref="B26:B36"/>
    <mergeCell ref="B22:B24"/>
    <mergeCell ref="C22:C24"/>
    <mergeCell ref="D22:D24"/>
    <mergeCell ref="E22:E24"/>
    <mergeCell ref="A2:A45"/>
    <mergeCell ref="B45:F45"/>
    <mergeCell ref="B9:F9"/>
    <mergeCell ref="B10:F11"/>
    <mergeCell ref="B15:B17"/>
    <mergeCell ref="C15:C17"/>
    <mergeCell ref="D15:D17"/>
    <mergeCell ref="B18:B21"/>
    <mergeCell ref="C18:C21"/>
    <mergeCell ref="D18:D21"/>
    <mergeCell ref="E26:E36"/>
    <mergeCell ref="D26:D36"/>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40"/>
  <sheetViews>
    <sheetView workbookViewId="0">
      <pane ySplit="1" topLeftCell="A42" activePane="bottomLeft" state="frozen"/>
      <selection pane="bottomLeft" activeCell="B54" sqref="B54"/>
    </sheetView>
  </sheetViews>
  <sheetFormatPr defaultColWidth="8.75" defaultRowHeight="12.75"/>
  <cols>
    <col min="1" max="1" width="27.5" style="82" customWidth="1"/>
    <col min="2" max="2" width="20.125" style="82" bestFit="1" customWidth="1"/>
    <col min="3" max="16384" width="8.75" style="82"/>
  </cols>
  <sheetData>
    <row r="1" spans="1:2">
      <c r="A1" s="81" t="s">
        <v>2110</v>
      </c>
      <c r="B1" s="81" t="s">
        <v>1528</v>
      </c>
    </row>
    <row r="2" spans="1:2">
      <c r="A2" s="83" t="s">
        <v>2114</v>
      </c>
      <c r="B2" s="83" t="s">
        <v>1532</v>
      </c>
    </row>
    <row r="3" spans="1:2">
      <c r="A3" s="83" t="s">
        <v>2169</v>
      </c>
      <c r="B3" s="83" t="s">
        <v>1588</v>
      </c>
    </row>
    <row r="4" spans="1:2">
      <c r="A4" s="83" t="s">
        <v>2120</v>
      </c>
      <c r="B4" s="83" t="s">
        <v>1538</v>
      </c>
    </row>
    <row r="5" spans="1:2">
      <c r="A5" s="83" t="s">
        <v>2115</v>
      </c>
      <c r="B5" s="83" t="s">
        <v>1533</v>
      </c>
    </row>
    <row r="6" spans="1:2">
      <c r="A6" s="83" t="s">
        <v>2112</v>
      </c>
      <c r="B6" s="83" t="s">
        <v>1530</v>
      </c>
    </row>
    <row r="7" spans="1:2">
      <c r="A7" s="83" t="s">
        <v>2113</v>
      </c>
      <c r="B7" s="83" t="s">
        <v>1531</v>
      </c>
    </row>
    <row r="8" spans="1:2">
      <c r="A8" s="83" t="s">
        <v>2121</v>
      </c>
      <c r="B8" s="83" t="s">
        <v>1539</v>
      </c>
    </row>
    <row r="9" spans="1:2">
      <c r="A9" s="83" t="s">
        <v>2123</v>
      </c>
      <c r="B9" s="83" t="s">
        <v>1541</v>
      </c>
    </row>
    <row r="10" spans="1:2">
      <c r="A10" s="83" t="s">
        <v>2118</v>
      </c>
      <c r="B10" s="83" t="s">
        <v>1536</v>
      </c>
    </row>
    <row r="11" spans="1:2">
      <c r="A11" s="83" t="s">
        <v>2119</v>
      </c>
      <c r="B11" s="83" t="s">
        <v>1537</v>
      </c>
    </row>
    <row r="12" spans="1:2">
      <c r="A12" s="83" t="s">
        <v>2111</v>
      </c>
      <c r="B12" s="83" t="s">
        <v>1529</v>
      </c>
    </row>
    <row r="13" spans="1:2">
      <c r="A13" s="83" t="s">
        <v>2124</v>
      </c>
      <c r="B13" s="83" t="s">
        <v>1542</v>
      </c>
    </row>
    <row r="14" spans="1:2">
      <c r="A14" s="83" t="s">
        <v>2125</v>
      </c>
      <c r="B14" s="83" t="s">
        <v>1543</v>
      </c>
    </row>
    <row r="15" spans="1:2">
      <c r="A15" s="83" t="s">
        <v>2126</v>
      </c>
      <c r="B15" s="83" t="s">
        <v>1544</v>
      </c>
    </row>
    <row r="16" spans="1:2">
      <c r="A16" s="83" t="s">
        <v>2134</v>
      </c>
      <c r="B16" s="83" t="s">
        <v>1552</v>
      </c>
    </row>
    <row r="17" spans="1:2">
      <c r="A17" s="83" t="s">
        <v>2133</v>
      </c>
      <c r="B17" s="83" t="s">
        <v>1551</v>
      </c>
    </row>
    <row r="18" spans="1:2">
      <c r="A18" s="83" t="s">
        <v>2131</v>
      </c>
      <c r="B18" s="83" t="s">
        <v>1549</v>
      </c>
    </row>
    <row r="19" spans="1:2">
      <c r="A19" s="83" t="s">
        <v>2140</v>
      </c>
      <c r="B19" s="83" t="s">
        <v>1559</v>
      </c>
    </row>
    <row r="20" spans="1:2">
      <c r="A20" s="83" t="s">
        <v>2136</v>
      </c>
      <c r="B20" s="83" t="s">
        <v>1554</v>
      </c>
    </row>
    <row r="21" spans="1:2">
      <c r="A21" s="83" t="s">
        <v>2128</v>
      </c>
      <c r="B21" s="83" t="s">
        <v>1546</v>
      </c>
    </row>
    <row r="22" spans="1:2">
      <c r="A22" s="83" t="s">
        <v>2137</v>
      </c>
      <c r="B22" s="83" t="s">
        <v>1555</v>
      </c>
    </row>
    <row r="23" spans="1:2">
      <c r="A23" s="83" t="s">
        <v>2129</v>
      </c>
      <c r="B23" s="83" t="s">
        <v>1547</v>
      </c>
    </row>
    <row r="24" spans="1:2">
      <c r="A24" s="83" t="s">
        <v>2138</v>
      </c>
      <c r="B24" s="83" t="s">
        <v>1556</v>
      </c>
    </row>
    <row r="25" spans="1:2">
      <c r="A25" s="83" t="s">
        <v>2142</v>
      </c>
      <c r="B25" s="83" t="s">
        <v>1561</v>
      </c>
    </row>
    <row r="26" spans="1:2">
      <c r="A26" s="281" t="s">
        <v>4874</v>
      </c>
      <c r="B26" s="83" t="s">
        <v>1557</v>
      </c>
    </row>
    <row r="27" spans="1:2">
      <c r="A27" s="83" t="s">
        <v>2135</v>
      </c>
      <c r="B27" s="83" t="s">
        <v>1553</v>
      </c>
    </row>
    <row r="28" spans="1:2">
      <c r="A28" s="83" t="s">
        <v>2144</v>
      </c>
      <c r="B28" s="83" t="s">
        <v>1563</v>
      </c>
    </row>
    <row r="29" spans="1:2">
      <c r="A29" s="83" t="s">
        <v>2143</v>
      </c>
      <c r="B29" s="83" t="s">
        <v>1562</v>
      </c>
    </row>
    <row r="30" spans="1:2">
      <c r="A30" s="83" t="s">
        <v>2139</v>
      </c>
      <c r="B30" s="83" t="s">
        <v>1558</v>
      </c>
    </row>
    <row r="31" spans="1:2">
      <c r="A31" s="83" t="s">
        <v>2208</v>
      </c>
      <c r="B31" s="83" t="s">
        <v>1628</v>
      </c>
    </row>
    <row r="32" spans="1:2">
      <c r="A32" s="83" t="s">
        <v>2141</v>
      </c>
      <c r="B32" s="83" t="s">
        <v>1560</v>
      </c>
    </row>
    <row r="33" spans="1:2">
      <c r="A33" s="83" t="s">
        <v>2132</v>
      </c>
      <c r="B33" s="83" t="s">
        <v>1550</v>
      </c>
    </row>
    <row r="34" spans="1:2">
      <c r="A34" s="83" t="s">
        <v>2130</v>
      </c>
      <c r="B34" s="83" t="s">
        <v>1548</v>
      </c>
    </row>
    <row r="35" spans="1:2">
      <c r="A35" s="83" t="s">
        <v>2127</v>
      </c>
      <c r="B35" s="83" t="s">
        <v>1545</v>
      </c>
    </row>
    <row r="36" spans="1:2">
      <c r="A36" s="83" t="s">
        <v>2221</v>
      </c>
      <c r="B36" s="83" t="s">
        <v>1641</v>
      </c>
    </row>
    <row r="37" spans="1:2">
      <c r="A37" s="83" t="s">
        <v>2152</v>
      </c>
      <c r="B37" s="83" t="s">
        <v>1571</v>
      </c>
    </row>
    <row r="38" spans="1:2">
      <c r="A38" s="83" t="s">
        <v>2146</v>
      </c>
      <c r="B38" s="83" t="s">
        <v>1565</v>
      </c>
    </row>
    <row r="39" spans="1:2">
      <c r="A39" s="83" t="s">
        <v>2157</v>
      </c>
      <c r="B39" s="83" t="s">
        <v>1576</v>
      </c>
    </row>
    <row r="40" spans="1:2">
      <c r="A40" s="83" t="s">
        <v>2161</v>
      </c>
      <c r="B40" s="83" t="s">
        <v>1580</v>
      </c>
    </row>
    <row r="41" spans="1:2">
      <c r="A41" s="83" t="s">
        <v>2145</v>
      </c>
      <c r="B41" s="83" t="s">
        <v>1564</v>
      </c>
    </row>
    <row r="42" spans="1:2">
      <c r="A42" s="83" t="s">
        <v>1714</v>
      </c>
      <c r="B42" s="83" t="s">
        <v>2075</v>
      </c>
    </row>
    <row r="43" spans="1:2">
      <c r="A43" s="83" t="s">
        <v>2149</v>
      </c>
      <c r="B43" s="83" t="s">
        <v>1568</v>
      </c>
    </row>
    <row r="44" spans="1:2">
      <c r="A44" s="83" t="s">
        <v>2150</v>
      </c>
      <c r="B44" s="83" t="s">
        <v>1569</v>
      </c>
    </row>
    <row r="45" spans="1:2">
      <c r="A45" s="83" t="s">
        <v>2160</v>
      </c>
      <c r="B45" s="83" t="s">
        <v>1579</v>
      </c>
    </row>
    <row r="46" spans="1:2">
      <c r="A46" s="83" t="s">
        <v>2147</v>
      </c>
      <c r="B46" s="83" t="s">
        <v>1566</v>
      </c>
    </row>
    <row r="47" spans="1:2">
      <c r="A47" s="83" t="s">
        <v>2155</v>
      </c>
      <c r="B47" s="83" t="s">
        <v>1574</v>
      </c>
    </row>
    <row r="48" spans="1:2">
      <c r="A48" s="83" t="s">
        <v>2156</v>
      </c>
      <c r="B48" s="83" t="s">
        <v>1575</v>
      </c>
    </row>
    <row r="49" spans="1:2">
      <c r="A49" s="83" t="s">
        <v>2153</v>
      </c>
      <c r="B49" s="83" t="s">
        <v>1572</v>
      </c>
    </row>
    <row r="50" spans="1:2">
      <c r="A50" s="281" t="s">
        <v>4873</v>
      </c>
      <c r="B50" s="281" t="s">
        <v>1500</v>
      </c>
    </row>
    <row r="51" spans="1:2">
      <c r="A51" s="83" t="s">
        <v>2154</v>
      </c>
      <c r="B51" s="83" t="s">
        <v>1573</v>
      </c>
    </row>
    <row r="52" spans="1:2">
      <c r="A52" s="83" t="s">
        <v>2158</v>
      </c>
      <c r="B52" s="83" t="s">
        <v>1577</v>
      </c>
    </row>
    <row r="53" spans="1:2">
      <c r="A53" s="83" t="s">
        <v>2151</v>
      </c>
      <c r="B53" s="83" t="s">
        <v>1570</v>
      </c>
    </row>
    <row r="54" spans="1:2">
      <c r="A54" s="83" t="s">
        <v>2203</v>
      </c>
      <c r="B54" s="83" t="s">
        <v>1623</v>
      </c>
    </row>
    <row r="55" spans="1:2">
      <c r="A55" s="83" t="s">
        <v>2159</v>
      </c>
      <c r="B55" s="83" t="s">
        <v>1578</v>
      </c>
    </row>
    <row r="56" spans="1:2">
      <c r="A56" s="83" t="s">
        <v>2162</v>
      </c>
      <c r="B56" s="83" t="s">
        <v>1581</v>
      </c>
    </row>
    <row r="57" spans="1:2">
      <c r="A57" s="83" t="s">
        <v>2163</v>
      </c>
      <c r="B57" s="83" t="s">
        <v>1582</v>
      </c>
    </row>
    <row r="58" spans="1:2">
      <c r="A58" s="83" t="s">
        <v>2167</v>
      </c>
      <c r="B58" s="83" t="s">
        <v>1586</v>
      </c>
    </row>
    <row r="59" spans="1:2">
      <c r="A59" s="83" t="s">
        <v>2165</v>
      </c>
      <c r="B59" s="83" t="s">
        <v>1584</v>
      </c>
    </row>
    <row r="60" spans="1:2">
      <c r="A60" s="83" t="s">
        <v>2166</v>
      </c>
      <c r="B60" s="83" t="s">
        <v>1585</v>
      </c>
    </row>
    <row r="61" spans="1:2">
      <c r="A61" s="83" t="s">
        <v>2168</v>
      </c>
      <c r="B61" s="83" t="s">
        <v>1587</v>
      </c>
    </row>
    <row r="62" spans="1:2">
      <c r="A62" s="83" t="s">
        <v>1720</v>
      </c>
      <c r="B62" s="83" t="s">
        <v>2081</v>
      </c>
    </row>
    <row r="63" spans="1:2">
      <c r="A63" s="83" t="s">
        <v>2170</v>
      </c>
      <c r="B63" s="83" t="s">
        <v>1589</v>
      </c>
    </row>
    <row r="64" spans="1:2">
      <c r="A64" s="83" t="s">
        <v>2171</v>
      </c>
      <c r="B64" s="83" t="s">
        <v>1590</v>
      </c>
    </row>
    <row r="65" spans="1:2">
      <c r="A65" s="83" t="s">
        <v>1701</v>
      </c>
      <c r="B65" s="83" t="s">
        <v>2062</v>
      </c>
    </row>
    <row r="66" spans="1:2">
      <c r="A66" s="83" t="s">
        <v>2192</v>
      </c>
      <c r="B66" s="83" t="s">
        <v>1612</v>
      </c>
    </row>
    <row r="67" spans="1:2">
      <c r="A67" s="83" t="s">
        <v>2172</v>
      </c>
      <c r="B67" s="83" t="s">
        <v>1591</v>
      </c>
    </row>
    <row r="68" spans="1:2">
      <c r="A68" s="83" t="s">
        <v>2175</v>
      </c>
      <c r="B68" s="83" t="s">
        <v>1594</v>
      </c>
    </row>
    <row r="69" spans="1:2">
      <c r="A69" s="83" t="s">
        <v>2176</v>
      </c>
      <c r="B69" s="83" t="s">
        <v>1595</v>
      </c>
    </row>
    <row r="70" spans="1:2">
      <c r="A70" s="83" t="s">
        <v>2179</v>
      </c>
      <c r="B70" s="83" t="s">
        <v>1598</v>
      </c>
    </row>
    <row r="71" spans="1:2">
      <c r="A71" s="83" t="s">
        <v>2181</v>
      </c>
      <c r="B71" s="83" t="s">
        <v>1600</v>
      </c>
    </row>
    <row r="72" spans="1:2">
      <c r="A72" s="83" t="s">
        <v>2178</v>
      </c>
      <c r="B72" s="83" t="s">
        <v>1597</v>
      </c>
    </row>
    <row r="73" spans="1:2">
      <c r="A73" s="83" t="s">
        <v>2177</v>
      </c>
      <c r="B73" s="83" t="s">
        <v>1596</v>
      </c>
    </row>
    <row r="74" spans="1:2">
      <c r="A74" s="83" t="s">
        <v>2180</v>
      </c>
      <c r="B74" s="83" t="s">
        <v>1599</v>
      </c>
    </row>
    <row r="75" spans="1:2">
      <c r="A75" s="83" t="s">
        <v>2183</v>
      </c>
      <c r="B75" s="83" t="s">
        <v>1602</v>
      </c>
    </row>
    <row r="76" spans="1:2">
      <c r="A76" s="83" t="s">
        <v>2197</v>
      </c>
      <c r="B76" s="83" t="s">
        <v>1617</v>
      </c>
    </row>
    <row r="77" spans="1:2">
      <c r="A77" s="83" t="s">
        <v>1686</v>
      </c>
      <c r="B77" s="83" t="s">
        <v>2047</v>
      </c>
    </row>
    <row r="78" spans="1:2">
      <c r="A78" s="83" t="s">
        <v>2122</v>
      </c>
      <c r="B78" s="83" t="s">
        <v>1540</v>
      </c>
    </row>
    <row r="79" spans="1:2">
      <c r="A79" s="83" t="s">
        <v>2184</v>
      </c>
      <c r="B79" s="83" t="s">
        <v>1603</v>
      </c>
    </row>
    <row r="80" spans="1:2">
      <c r="A80" s="83" t="s">
        <v>2190</v>
      </c>
      <c r="B80" s="83" t="s">
        <v>1610</v>
      </c>
    </row>
    <row r="81" spans="1:2">
      <c r="A81" s="83" t="s">
        <v>2185</v>
      </c>
      <c r="B81" s="83" t="s">
        <v>1605</v>
      </c>
    </row>
    <row r="82" spans="1:2">
      <c r="A82" s="83" t="s">
        <v>2164</v>
      </c>
      <c r="B82" s="83" t="s">
        <v>1583</v>
      </c>
    </row>
    <row r="83" spans="1:2">
      <c r="A83" s="83" t="s">
        <v>2186</v>
      </c>
      <c r="B83" s="83" t="s">
        <v>1606</v>
      </c>
    </row>
    <row r="84" spans="1:2">
      <c r="A84" s="83" t="s">
        <v>2187</v>
      </c>
      <c r="B84" s="83" t="s">
        <v>1607</v>
      </c>
    </row>
    <row r="85" spans="1:2">
      <c r="A85" s="83" t="s">
        <v>2193</v>
      </c>
      <c r="B85" s="83" t="s">
        <v>1613</v>
      </c>
    </row>
    <row r="86" spans="1:2">
      <c r="A86" s="83" t="s">
        <v>2195</v>
      </c>
      <c r="B86" s="83" t="s">
        <v>1615</v>
      </c>
    </row>
    <row r="87" spans="1:2">
      <c r="A87" s="83" t="s">
        <v>2194</v>
      </c>
      <c r="B87" s="83" t="s">
        <v>1614</v>
      </c>
    </row>
    <row r="88" spans="1:2">
      <c r="A88" s="83" t="s">
        <v>2189</v>
      </c>
      <c r="B88" s="83" t="s">
        <v>1609</v>
      </c>
    </row>
    <row r="89" spans="1:2">
      <c r="A89" s="83" t="s">
        <v>2198</v>
      </c>
      <c r="B89" s="83" t="s">
        <v>1618</v>
      </c>
    </row>
    <row r="90" spans="1:2">
      <c r="A90" s="83" t="s">
        <v>2196</v>
      </c>
      <c r="B90" s="83" t="s">
        <v>1616</v>
      </c>
    </row>
    <row r="91" spans="1:2">
      <c r="A91" s="83" t="s">
        <v>2188</v>
      </c>
      <c r="B91" s="83" t="s">
        <v>1608</v>
      </c>
    </row>
    <row r="92" spans="1:2">
      <c r="A92" s="83" t="s">
        <v>2191</v>
      </c>
      <c r="B92" s="83" t="s">
        <v>1611</v>
      </c>
    </row>
    <row r="93" spans="1:2">
      <c r="A93" s="83" t="s">
        <v>2199</v>
      </c>
      <c r="B93" s="83" t="s">
        <v>1619</v>
      </c>
    </row>
    <row r="94" spans="1:2">
      <c r="A94" s="83" t="s">
        <v>2204</v>
      </c>
      <c r="B94" s="83" t="s">
        <v>1624</v>
      </c>
    </row>
    <row r="95" spans="1:2">
      <c r="A95" s="83" t="s">
        <v>2201</v>
      </c>
      <c r="B95" s="83" t="s">
        <v>1621</v>
      </c>
    </row>
    <row r="96" spans="1:2">
      <c r="A96" s="83" t="s">
        <v>2202</v>
      </c>
      <c r="B96" s="83" t="s">
        <v>1622</v>
      </c>
    </row>
    <row r="97" spans="1:2">
      <c r="A97" s="83" t="s">
        <v>2200</v>
      </c>
      <c r="B97" s="83" t="s">
        <v>1620</v>
      </c>
    </row>
    <row r="98" spans="1:2">
      <c r="A98" s="83" t="s">
        <v>2205</v>
      </c>
      <c r="B98" s="83" t="s">
        <v>1625</v>
      </c>
    </row>
    <row r="99" spans="1:2">
      <c r="A99" s="83" t="s">
        <v>2212</v>
      </c>
      <c r="B99" s="83" t="s">
        <v>1632</v>
      </c>
    </row>
    <row r="100" spans="1:2">
      <c r="A100" s="83" t="s">
        <v>2207</v>
      </c>
      <c r="B100" s="83" t="s">
        <v>1627</v>
      </c>
    </row>
    <row r="101" spans="1:2">
      <c r="A101" s="83" t="s">
        <v>2206</v>
      </c>
      <c r="B101" s="83" t="s">
        <v>1626</v>
      </c>
    </row>
    <row r="102" spans="1:2">
      <c r="A102" s="83" t="s">
        <v>2210</v>
      </c>
      <c r="B102" s="83" t="s">
        <v>1630</v>
      </c>
    </row>
    <row r="103" spans="1:2">
      <c r="A103" s="83" t="s">
        <v>2211</v>
      </c>
      <c r="B103" s="83" t="s">
        <v>1631</v>
      </c>
    </row>
    <row r="104" spans="1:2">
      <c r="A104" s="83" t="s">
        <v>2209</v>
      </c>
      <c r="B104" s="83" t="s">
        <v>1629</v>
      </c>
    </row>
    <row r="105" spans="1:2">
      <c r="A105" s="83" t="s">
        <v>2213</v>
      </c>
      <c r="B105" s="83" t="s">
        <v>1633</v>
      </c>
    </row>
    <row r="106" spans="1:2">
      <c r="A106" s="83" t="s">
        <v>2214</v>
      </c>
      <c r="B106" s="83" t="s">
        <v>1634</v>
      </c>
    </row>
    <row r="107" spans="1:2">
      <c r="A107" s="83" t="s">
        <v>2215</v>
      </c>
      <c r="B107" s="83" t="s">
        <v>1635</v>
      </c>
    </row>
    <row r="108" spans="1:2">
      <c r="A108" s="83" t="s">
        <v>2217</v>
      </c>
      <c r="B108" s="83" t="s">
        <v>1637</v>
      </c>
    </row>
    <row r="109" spans="1:2">
      <c r="A109" s="83" t="s">
        <v>2216</v>
      </c>
      <c r="B109" s="83" t="s">
        <v>1636</v>
      </c>
    </row>
    <row r="110" spans="1:2">
      <c r="A110" s="83" t="s">
        <v>2218</v>
      </c>
      <c r="B110" s="83" t="s">
        <v>1638</v>
      </c>
    </row>
    <row r="111" spans="1:2">
      <c r="A111" s="83" t="s">
        <v>2219</v>
      </c>
      <c r="B111" s="83" t="s">
        <v>1639</v>
      </c>
    </row>
    <row r="112" spans="1:2">
      <c r="A112" s="83" t="s">
        <v>2222</v>
      </c>
      <c r="B112" s="83" t="s">
        <v>1642</v>
      </c>
    </row>
    <row r="113" spans="1:2">
      <c r="A113" s="281" t="s">
        <v>4875</v>
      </c>
      <c r="B113" s="83" t="s">
        <v>2044</v>
      </c>
    </row>
    <row r="114" spans="1:2">
      <c r="A114" s="281" t="s">
        <v>4876</v>
      </c>
      <c r="B114" s="83" t="s">
        <v>1644</v>
      </c>
    </row>
    <row r="115" spans="1:2">
      <c r="A115" s="83" t="s">
        <v>2225</v>
      </c>
      <c r="B115" s="83" t="s">
        <v>1645</v>
      </c>
    </row>
    <row r="116" spans="1:2">
      <c r="A116" s="83" t="s">
        <v>2220</v>
      </c>
      <c r="B116" s="83" t="s">
        <v>1640</v>
      </c>
    </row>
    <row r="117" spans="1:2">
      <c r="A117" s="83" t="s">
        <v>2226</v>
      </c>
      <c r="B117" s="83" t="s">
        <v>1646</v>
      </c>
    </row>
    <row r="118" spans="1:2">
      <c r="A118" s="83" t="s">
        <v>2236</v>
      </c>
      <c r="B118" s="83" t="s">
        <v>1656</v>
      </c>
    </row>
    <row r="119" spans="1:2">
      <c r="A119" s="83" t="s">
        <v>2227</v>
      </c>
      <c r="B119" s="83" t="s">
        <v>1647</v>
      </c>
    </row>
    <row r="120" spans="1:2">
      <c r="A120" s="83" t="s">
        <v>2233</v>
      </c>
      <c r="B120" s="83" t="s">
        <v>1653</v>
      </c>
    </row>
    <row r="121" spans="1:2">
      <c r="A121" s="83" t="s">
        <v>2228</v>
      </c>
      <c r="B121" s="83" t="s">
        <v>1648</v>
      </c>
    </row>
    <row r="122" spans="1:2">
      <c r="A122" s="83" t="s">
        <v>2229</v>
      </c>
      <c r="B122" s="83" t="s">
        <v>1649</v>
      </c>
    </row>
    <row r="123" spans="1:2">
      <c r="A123" s="83" t="s">
        <v>2231</v>
      </c>
      <c r="B123" s="83" t="s">
        <v>1651</v>
      </c>
    </row>
    <row r="124" spans="1:2">
      <c r="A124" s="83" t="s">
        <v>2234</v>
      </c>
      <c r="B124" s="83" t="s">
        <v>1654</v>
      </c>
    </row>
    <row r="125" spans="1:2">
      <c r="A125" s="83" t="s">
        <v>2235</v>
      </c>
      <c r="B125" s="83" t="s">
        <v>1655</v>
      </c>
    </row>
    <row r="126" spans="1:2">
      <c r="A126" s="83" t="s">
        <v>2237</v>
      </c>
      <c r="B126" s="83" t="s">
        <v>1657</v>
      </c>
    </row>
    <row r="127" spans="1:2">
      <c r="A127" s="281" t="s">
        <v>4877</v>
      </c>
      <c r="B127" s="83" t="s">
        <v>1665</v>
      </c>
    </row>
    <row r="128" spans="1:2">
      <c r="A128" s="83" t="s">
        <v>2241</v>
      </c>
      <c r="B128" s="83" t="s">
        <v>1661</v>
      </c>
    </row>
    <row r="129" spans="1:2">
      <c r="A129" s="83" t="s">
        <v>2255</v>
      </c>
      <c r="B129" s="83" t="s">
        <v>1676</v>
      </c>
    </row>
    <row r="130" spans="1:2">
      <c r="A130" s="83" t="s">
        <v>2256</v>
      </c>
      <c r="B130" s="83" t="s">
        <v>2020</v>
      </c>
    </row>
    <row r="131" spans="1:2">
      <c r="A131" s="83" t="s">
        <v>2242</v>
      </c>
      <c r="B131" s="83" t="s">
        <v>1662</v>
      </c>
    </row>
    <row r="132" spans="1:2">
      <c r="A132" s="83" t="s">
        <v>2245</v>
      </c>
      <c r="B132" s="83" t="s">
        <v>1666</v>
      </c>
    </row>
    <row r="133" spans="1:2">
      <c r="A133" s="83" t="s">
        <v>2246</v>
      </c>
      <c r="B133" s="83" t="s">
        <v>1667</v>
      </c>
    </row>
    <row r="134" spans="1:2">
      <c r="A134" s="83" t="s">
        <v>2244</v>
      </c>
      <c r="B134" s="83" t="s">
        <v>1664</v>
      </c>
    </row>
    <row r="135" spans="1:2">
      <c r="A135" s="83" t="s">
        <v>2253</v>
      </c>
      <c r="B135" s="83" t="s">
        <v>1674</v>
      </c>
    </row>
    <row r="136" spans="1:2">
      <c r="A136" s="83" t="s">
        <v>2251</v>
      </c>
      <c r="B136" s="83" t="s">
        <v>1672</v>
      </c>
    </row>
    <row r="137" spans="1:2">
      <c r="A137" s="83" t="s">
        <v>2254</v>
      </c>
      <c r="B137" s="83" t="s">
        <v>1675</v>
      </c>
    </row>
    <row r="138" spans="1:2">
      <c r="A138" s="83" t="s">
        <v>2257</v>
      </c>
      <c r="B138" s="83" t="s">
        <v>2021</v>
      </c>
    </row>
    <row r="139" spans="1:2">
      <c r="A139" s="83" t="s">
        <v>2243</v>
      </c>
      <c r="B139" s="83" t="s">
        <v>1663</v>
      </c>
    </row>
    <row r="140" spans="1:2">
      <c r="A140" s="83" t="s">
        <v>2182</v>
      </c>
      <c r="B140" s="83" t="s">
        <v>1601</v>
      </c>
    </row>
    <row r="141" spans="1:2">
      <c r="A141" s="83" t="s">
        <v>2240</v>
      </c>
      <c r="B141" s="83" t="s">
        <v>1660</v>
      </c>
    </row>
    <row r="142" spans="1:2">
      <c r="A142" s="83" t="s">
        <v>2239</v>
      </c>
      <c r="B142" s="83" t="s">
        <v>1659</v>
      </c>
    </row>
    <row r="143" spans="1:2">
      <c r="A143" s="83" t="s">
        <v>2248</v>
      </c>
      <c r="B143" s="83" t="s">
        <v>1669</v>
      </c>
    </row>
    <row r="144" spans="1:2">
      <c r="A144" s="83" t="s">
        <v>2252</v>
      </c>
      <c r="B144" s="83" t="s">
        <v>1673</v>
      </c>
    </row>
    <row r="145" spans="1:2">
      <c r="A145" s="83" t="s">
        <v>2238</v>
      </c>
      <c r="B145" s="83" t="s">
        <v>1658</v>
      </c>
    </row>
    <row r="146" spans="1:2">
      <c r="A146" s="83" t="s">
        <v>2250</v>
      </c>
      <c r="B146" s="83" t="s">
        <v>1671</v>
      </c>
    </row>
    <row r="147" spans="1:2">
      <c r="A147" s="83" t="s">
        <v>2247</v>
      </c>
      <c r="B147" s="83" t="s">
        <v>1668</v>
      </c>
    </row>
    <row r="148" spans="1:2">
      <c r="A148" s="83" t="s">
        <v>2258</v>
      </c>
      <c r="B148" s="83" t="s">
        <v>2022</v>
      </c>
    </row>
    <row r="149" spans="1:2">
      <c r="A149" s="83" t="s">
        <v>2268</v>
      </c>
      <c r="B149" s="83" t="s">
        <v>2032</v>
      </c>
    </row>
    <row r="150" spans="1:2">
      <c r="A150" s="83" t="s">
        <v>2267</v>
      </c>
      <c r="B150" s="83" t="s">
        <v>2031</v>
      </c>
    </row>
    <row r="151" spans="1:2">
      <c r="A151" s="83" t="s">
        <v>2265</v>
      </c>
      <c r="B151" s="83" t="s">
        <v>2029</v>
      </c>
    </row>
    <row r="152" spans="1:2">
      <c r="A152" s="83" t="s">
        <v>2116</v>
      </c>
      <c r="B152" s="83" t="s">
        <v>1534</v>
      </c>
    </row>
    <row r="153" spans="1:2">
      <c r="A153" s="83" t="s">
        <v>2259</v>
      </c>
      <c r="B153" s="83" t="s">
        <v>2023</v>
      </c>
    </row>
    <row r="154" spans="1:2">
      <c r="A154" s="83" t="s">
        <v>2269</v>
      </c>
      <c r="B154" s="83" t="s">
        <v>2033</v>
      </c>
    </row>
    <row r="155" spans="1:2">
      <c r="A155" s="83" t="s">
        <v>2263</v>
      </c>
      <c r="B155" s="83" t="s">
        <v>2027</v>
      </c>
    </row>
    <row r="156" spans="1:2">
      <c r="A156" s="83" t="s">
        <v>2260</v>
      </c>
      <c r="B156" s="83" t="s">
        <v>2024</v>
      </c>
    </row>
    <row r="157" spans="1:2">
      <c r="A157" s="83" t="s">
        <v>2262</v>
      </c>
      <c r="B157" s="83" t="s">
        <v>2026</v>
      </c>
    </row>
    <row r="158" spans="1:2">
      <c r="A158" s="83" t="s">
        <v>2264</v>
      </c>
      <c r="B158" s="83" t="s">
        <v>2028</v>
      </c>
    </row>
    <row r="159" spans="1:2">
      <c r="A159" s="83" t="s">
        <v>2261</v>
      </c>
      <c r="B159" s="83" t="s">
        <v>2025</v>
      </c>
    </row>
    <row r="160" spans="1:2">
      <c r="A160" s="83" t="s">
        <v>2249</v>
      </c>
      <c r="B160" s="83" t="s">
        <v>1670</v>
      </c>
    </row>
    <row r="161" spans="1:2">
      <c r="A161" s="83" t="s">
        <v>2266</v>
      </c>
      <c r="B161" s="83" t="s">
        <v>2030</v>
      </c>
    </row>
    <row r="162" spans="1:2">
      <c r="A162" s="83" t="s">
        <v>2270</v>
      </c>
      <c r="B162" s="83" t="s">
        <v>2034</v>
      </c>
    </row>
    <row r="163" spans="1:2">
      <c r="A163" s="83" t="s">
        <v>2271</v>
      </c>
      <c r="B163" s="83" t="s">
        <v>2035</v>
      </c>
    </row>
    <row r="164" spans="1:2">
      <c r="A164" s="83" t="s">
        <v>1680</v>
      </c>
      <c r="B164" s="83" t="s">
        <v>2040</v>
      </c>
    </row>
    <row r="165" spans="1:2">
      <c r="A165" s="83" t="s">
        <v>2272</v>
      </c>
      <c r="B165" s="83" t="s">
        <v>2036</v>
      </c>
    </row>
    <row r="166" spans="1:2">
      <c r="A166" s="83" t="s">
        <v>1681</v>
      </c>
      <c r="B166" s="83" t="s">
        <v>2041</v>
      </c>
    </row>
    <row r="167" spans="1:2">
      <c r="A167" s="83" t="s">
        <v>1685</v>
      </c>
      <c r="B167" s="83" t="s">
        <v>2046</v>
      </c>
    </row>
    <row r="168" spans="1:2">
      <c r="A168" s="83" t="s">
        <v>1678</v>
      </c>
      <c r="B168" s="83" t="s">
        <v>2038</v>
      </c>
    </row>
    <row r="169" spans="1:2">
      <c r="A169" s="83" t="s">
        <v>1679</v>
      </c>
      <c r="B169" s="83" t="s">
        <v>2039</v>
      </c>
    </row>
    <row r="170" spans="1:2">
      <c r="A170" s="83" t="s">
        <v>2273</v>
      </c>
      <c r="B170" s="83" t="s">
        <v>2037</v>
      </c>
    </row>
    <row r="171" spans="1:2">
      <c r="A171" s="83" t="s">
        <v>1682</v>
      </c>
      <c r="B171" s="83" t="s">
        <v>2042</v>
      </c>
    </row>
    <row r="172" spans="1:2">
      <c r="A172" s="83" t="s">
        <v>1684</v>
      </c>
      <c r="B172" s="83" t="s">
        <v>2045</v>
      </c>
    </row>
    <row r="173" spans="1:2">
      <c r="A173" s="83" t="s">
        <v>1683</v>
      </c>
      <c r="B173" s="83" t="s">
        <v>2043</v>
      </c>
    </row>
    <row r="174" spans="1:2">
      <c r="A174" s="83" t="s">
        <v>1687</v>
      </c>
      <c r="B174" s="83" t="s">
        <v>2048</v>
      </c>
    </row>
    <row r="175" spans="1:2">
      <c r="A175" s="83" t="s">
        <v>1688</v>
      </c>
      <c r="B175" s="83" t="s">
        <v>2049</v>
      </c>
    </row>
    <row r="176" spans="1:2">
      <c r="A176" s="83" t="s">
        <v>1689</v>
      </c>
      <c r="B176" s="83" t="s">
        <v>2050</v>
      </c>
    </row>
    <row r="177" spans="1:2">
      <c r="A177" s="83" t="s">
        <v>1690</v>
      </c>
      <c r="B177" s="83" t="s">
        <v>2051</v>
      </c>
    </row>
    <row r="178" spans="1:2">
      <c r="A178" s="83" t="s">
        <v>1691</v>
      </c>
      <c r="B178" s="83" t="s">
        <v>2052</v>
      </c>
    </row>
    <row r="179" spans="1:2">
      <c r="A179" s="83" t="s">
        <v>2223</v>
      </c>
      <c r="B179" s="83" t="s">
        <v>1643</v>
      </c>
    </row>
    <row r="180" spans="1:2">
      <c r="A180" s="83" t="s">
        <v>2230</v>
      </c>
      <c r="B180" s="83" t="s">
        <v>1650</v>
      </c>
    </row>
    <row r="181" spans="1:2">
      <c r="A181" s="83" t="s">
        <v>1733</v>
      </c>
      <c r="B181" s="83" t="s">
        <v>2096</v>
      </c>
    </row>
    <row r="182" spans="1:2">
      <c r="A182" s="83" t="s">
        <v>1740</v>
      </c>
      <c r="B182" s="83" t="s">
        <v>2103</v>
      </c>
    </row>
    <row r="183" spans="1:2">
      <c r="A183" s="83" t="s">
        <v>1702</v>
      </c>
      <c r="B183" s="83" t="s">
        <v>2063</v>
      </c>
    </row>
    <row r="184" spans="1:2">
      <c r="A184" s="83" t="s">
        <v>1705</v>
      </c>
      <c r="B184" s="83" t="s">
        <v>2066</v>
      </c>
    </row>
    <row r="185" spans="1:2">
      <c r="A185" s="83" t="s">
        <v>1692</v>
      </c>
      <c r="B185" s="83" t="s">
        <v>2053</v>
      </c>
    </row>
    <row r="186" spans="1:2">
      <c r="A186" s="83" t="s">
        <v>1694</v>
      </c>
      <c r="B186" s="83" t="s">
        <v>2055</v>
      </c>
    </row>
    <row r="187" spans="1:2">
      <c r="A187" s="83" t="s">
        <v>1711</v>
      </c>
      <c r="B187" s="83" t="s">
        <v>2072</v>
      </c>
    </row>
    <row r="188" spans="1:2">
      <c r="A188" s="83" t="s">
        <v>1700</v>
      </c>
      <c r="B188" s="83" t="s">
        <v>2061</v>
      </c>
    </row>
    <row r="189" spans="1:2">
      <c r="A189" s="83" t="s">
        <v>1695</v>
      </c>
      <c r="B189" s="83" t="s">
        <v>2056</v>
      </c>
    </row>
    <row r="190" spans="1:2">
      <c r="A190" s="83" t="s">
        <v>1707</v>
      </c>
      <c r="B190" s="83" t="s">
        <v>2068</v>
      </c>
    </row>
    <row r="191" spans="1:2">
      <c r="A191" s="83" t="s">
        <v>1708</v>
      </c>
      <c r="B191" s="83" t="s">
        <v>2069</v>
      </c>
    </row>
    <row r="192" spans="1:2">
      <c r="A192" s="83" t="s">
        <v>1699</v>
      </c>
      <c r="B192" s="83" t="s">
        <v>2060</v>
      </c>
    </row>
    <row r="193" spans="1:2">
      <c r="A193" s="83" t="s">
        <v>1703</v>
      </c>
      <c r="B193" s="83" t="s">
        <v>2064</v>
      </c>
    </row>
    <row r="194" spans="1:2">
      <c r="A194" s="83" t="s">
        <v>1743</v>
      </c>
      <c r="B194" s="83" t="s">
        <v>2106</v>
      </c>
    </row>
    <row r="195" spans="1:2">
      <c r="A195" s="83" t="s">
        <v>1696</v>
      </c>
      <c r="B195" s="83" t="s">
        <v>2057</v>
      </c>
    </row>
    <row r="196" spans="1:2">
      <c r="A196" s="83" t="s">
        <v>2174</v>
      </c>
      <c r="B196" s="83" t="s">
        <v>1593</v>
      </c>
    </row>
    <row r="197" spans="1:2">
      <c r="A197" s="83" t="s">
        <v>2232</v>
      </c>
      <c r="B197" s="83" t="s">
        <v>1652</v>
      </c>
    </row>
    <row r="198" spans="1:2">
      <c r="A198" s="83" t="s">
        <v>1697</v>
      </c>
      <c r="B198" s="83" t="s">
        <v>2058</v>
      </c>
    </row>
    <row r="199" spans="1:2">
      <c r="A199" s="83" t="s">
        <v>1704</v>
      </c>
      <c r="B199" s="83" t="s">
        <v>2065</v>
      </c>
    </row>
    <row r="200" spans="1:2">
      <c r="A200" s="83" t="s">
        <v>1693</v>
      </c>
      <c r="B200" s="83" t="s">
        <v>2054</v>
      </c>
    </row>
    <row r="201" spans="1:2">
      <c r="A201" s="83" t="s">
        <v>1706</v>
      </c>
      <c r="B201" s="83" t="s">
        <v>2067</v>
      </c>
    </row>
    <row r="202" spans="1:2">
      <c r="A202" s="83" t="s">
        <v>1698</v>
      </c>
      <c r="B202" s="83" t="s">
        <v>2059</v>
      </c>
    </row>
    <row r="203" spans="1:2">
      <c r="A203" s="83" t="s">
        <v>1710</v>
      </c>
      <c r="B203" s="83" t="s">
        <v>2071</v>
      </c>
    </row>
    <row r="204" spans="1:2">
      <c r="A204" s="83" t="s">
        <v>1709</v>
      </c>
      <c r="B204" s="83" t="s">
        <v>2070</v>
      </c>
    </row>
    <row r="205" spans="1:2">
      <c r="A205" s="83" t="s">
        <v>2148</v>
      </c>
      <c r="B205" s="83" t="s">
        <v>1567</v>
      </c>
    </row>
    <row r="206" spans="1:2">
      <c r="A206" s="83" t="s">
        <v>1712</v>
      </c>
      <c r="B206" s="83" t="s">
        <v>2073</v>
      </c>
    </row>
    <row r="207" spans="1:2">
      <c r="A207" s="281" t="s">
        <v>4878</v>
      </c>
      <c r="B207" s="83" t="s">
        <v>2087</v>
      </c>
    </row>
    <row r="208" spans="1:2">
      <c r="A208" s="83" t="s">
        <v>1717</v>
      </c>
      <c r="B208" s="83" t="s">
        <v>2078</v>
      </c>
    </row>
    <row r="209" spans="1:2">
      <c r="A209" s="83" t="s">
        <v>1726</v>
      </c>
      <c r="B209" s="83" t="s">
        <v>2088</v>
      </c>
    </row>
    <row r="210" spans="1:2">
      <c r="A210" s="83" t="s">
        <v>1716</v>
      </c>
      <c r="B210" s="83" t="s">
        <v>2077</v>
      </c>
    </row>
    <row r="211" spans="1:2">
      <c r="A211" s="83" t="s">
        <v>1715</v>
      </c>
      <c r="B211" s="83" t="s">
        <v>2076</v>
      </c>
    </row>
    <row r="212" spans="1:2">
      <c r="A212" s="83" t="s">
        <v>1718</v>
      </c>
      <c r="B212" s="83" t="s">
        <v>2079</v>
      </c>
    </row>
    <row r="213" spans="1:2">
      <c r="A213" s="83" t="s">
        <v>1721</v>
      </c>
      <c r="B213" s="83" t="s">
        <v>2082</v>
      </c>
    </row>
    <row r="214" spans="1:2">
      <c r="A214" s="83" t="s">
        <v>1722</v>
      </c>
      <c r="B214" s="83" t="s">
        <v>2083</v>
      </c>
    </row>
    <row r="215" spans="1:2">
      <c r="A215" s="83" t="s">
        <v>1723</v>
      </c>
      <c r="B215" s="83" t="s">
        <v>2084</v>
      </c>
    </row>
    <row r="216" spans="1:2">
      <c r="A216" s="83" t="s">
        <v>1724</v>
      </c>
      <c r="B216" s="83" t="s">
        <v>2085</v>
      </c>
    </row>
    <row r="217" spans="1:2">
      <c r="A217" s="83" t="s">
        <v>1719</v>
      </c>
      <c r="B217" s="83" t="s">
        <v>2080</v>
      </c>
    </row>
    <row r="218" spans="1:2">
      <c r="A218" s="83" t="s">
        <v>1713</v>
      </c>
      <c r="B218" s="83" t="s">
        <v>2074</v>
      </c>
    </row>
    <row r="219" spans="1:2">
      <c r="A219" s="83" t="s">
        <v>1725</v>
      </c>
      <c r="B219" s="83" t="s">
        <v>2086</v>
      </c>
    </row>
    <row r="220" spans="1:2">
      <c r="A220" s="83" t="s">
        <v>1727</v>
      </c>
      <c r="B220" s="83" t="s">
        <v>2089</v>
      </c>
    </row>
    <row r="221" spans="1:2">
      <c r="A221" s="83" t="s">
        <v>1728</v>
      </c>
      <c r="B221" s="83" t="s">
        <v>2090</v>
      </c>
    </row>
    <row r="222" spans="1:2">
      <c r="A222" s="83" t="s">
        <v>2117</v>
      </c>
      <c r="B222" s="83" t="s">
        <v>1535</v>
      </c>
    </row>
    <row r="223" spans="1:2">
      <c r="A223" s="281" t="s">
        <v>4879</v>
      </c>
      <c r="B223" s="83" t="s">
        <v>1604</v>
      </c>
    </row>
    <row r="224" spans="1:2">
      <c r="A224" s="281" t="s">
        <v>4880</v>
      </c>
      <c r="B224" s="83" t="s">
        <v>2093</v>
      </c>
    </row>
    <row r="225" spans="1:2">
      <c r="A225" s="83" t="s">
        <v>1729</v>
      </c>
      <c r="B225" s="83" t="s">
        <v>2091</v>
      </c>
    </row>
    <row r="226" spans="1:2">
      <c r="A226" s="83" t="s">
        <v>1730</v>
      </c>
      <c r="B226" s="83" t="s">
        <v>2092</v>
      </c>
    </row>
    <row r="227" spans="1:2">
      <c r="A227" s="83" t="s">
        <v>1731</v>
      </c>
      <c r="B227" s="83" t="s">
        <v>2094</v>
      </c>
    </row>
    <row r="228" spans="1:2">
      <c r="A228" s="83" t="s">
        <v>1738</v>
      </c>
      <c r="B228" s="83" t="s">
        <v>2101</v>
      </c>
    </row>
    <row r="229" spans="1:2">
      <c r="A229" s="83" t="s">
        <v>1732</v>
      </c>
      <c r="B229" s="83" t="s">
        <v>2095</v>
      </c>
    </row>
    <row r="230" spans="1:2">
      <c r="A230" s="83" t="s">
        <v>1734</v>
      </c>
      <c r="B230" s="83" t="s">
        <v>2097</v>
      </c>
    </row>
    <row r="231" spans="1:2">
      <c r="A231" s="83" t="s">
        <v>1737</v>
      </c>
      <c r="B231" s="83" t="s">
        <v>2100</v>
      </c>
    </row>
    <row r="232" spans="1:2">
      <c r="A232" s="83" t="s">
        <v>1735</v>
      </c>
      <c r="B232" s="83" t="s">
        <v>2098</v>
      </c>
    </row>
    <row r="233" spans="1:2">
      <c r="A233" s="83" t="s">
        <v>1736</v>
      </c>
      <c r="B233" s="83" t="s">
        <v>2099</v>
      </c>
    </row>
    <row r="234" spans="1:2">
      <c r="A234" s="83" t="s">
        <v>1739</v>
      </c>
      <c r="B234" s="83" t="s">
        <v>2102</v>
      </c>
    </row>
    <row r="235" spans="1:2">
      <c r="A235" s="83" t="s">
        <v>2173</v>
      </c>
      <c r="B235" s="83" t="s">
        <v>1592</v>
      </c>
    </row>
    <row r="236" spans="1:2">
      <c r="A236" s="83" t="s">
        <v>1741</v>
      </c>
      <c r="B236" s="83" t="s">
        <v>2104</v>
      </c>
    </row>
    <row r="237" spans="1:2">
      <c r="A237" s="83" t="s">
        <v>1742</v>
      </c>
      <c r="B237" s="83" t="s">
        <v>2105</v>
      </c>
    </row>
    <row r="238" spans="1:2">
      <c r="A238" s="83" t="s">
        <v>1744</v>
      </c>
      <c r="B238" s="83" t="s">
        <v>2107</v>
      </c>
    </row>
    <row r="239" spans="1:2">
      <c r="A239" s="83" t="s">
        <v>1745</v>
      </c>
      <c r="B239" s="83" t="s">
        <v>2108</v>
      </c>
    </row>
    <row r="240" spans="1:2">
      <c r="A240" s="83" t="s">
        <v>1746</v>
      </c>
      <c r="B240" s="83" t="s">
        <v>2109</v>
      </c>
    </row>
  </sheetData>
  <phoneticPr fontId="3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1"/>
  <sheetViews>
    <sheetView showGridLines="0" zoomScale="60" zoomScaleNormal="60" workbookViewId="0">
      <selection activeCell="H4" sqref="H4"/>
    </sheetView>
  </sheetViews>
  <sheetFormatPr defaultRowHeight="12.75"/>
  <cols>
    <col min="1" max="1" width="143" customWidth="1"/>
    <col min="2" max="2" width="3" customWidth="1"/>
    <col min="3" max="3" width="8.75" style="125" customWidth="1"/>
  </cols>
  <sheetData>
    <row r="1" spans="1:2" ht="100.5" customHeight="1">
      <c r="A1" s="135" t="str">
        <f ca="1">OFFSET(L!$C$1,MATCH("Instructions"&amp;ADDRESS(ROW(),COLUMN(),4),L!$A:$A,0)-1,SL,,)</f>
        <v>CFSI website: (www.conflictfreesourcing.org)
Training and guidance, template, Conflict-Free Smelter Program compliant smelter list.</v>
      </c>
      <c r="B1" s="126" t="s">
        <v>851</v>
      </c>
    </row>
    <row r="2" spans="1:2" ht="30">
      <c r="A2" s="136" t="str">
        <f ca="1">OFFSET(L!$C$1,MATCH("Instructions"&amp;ADDRESS(ROW(),COLUMN(),4),L!$A:$A,0)-1,SL,,)</f>
        <v>Introduction</v>
      </c>
      <c r="B2" s="126" t="s">
        <v>2518</v>
      </c>
    </row>
    <row r="3" spans="1:2" ht="165">
      <c r="A3" s="133"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
The CMRT was designed for downstream companies to disclose information about their supply chains up to but not including the smelter.  If you are a 3TG smelter or refiner, in accordance with the CFSP protocols, we recommend you enter your own name in the smelter list tab.
When filling out the form, none of the cell entries should start will "=" or "#."</v>
      </c>
      <c r="B3" s="126" t="s">
        <v>2519</v>
      </c>
    </row>
    <row r="4" spans="1:2" ht="150">
      <c r="A4" s="133"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26" t="s">
        <v>2525</v>
      </c>
    </row>
    <row r="5" spans="1:2" ht="15">
      <c r="A5" s="137"/>
      <c r="B5" s="126"/>
    </row>
    <row r="6" spans="1:2" ht="30">
      <c r="A6" s="136" t="str">
        <f ca="1">OFFSET(L!$C$1,MATCH("Instructions"&amp;ADDRESS(ROW(),COLUMN(),4),L!$A:$A,0)-1,SL,,)</f>
        <v>Instructions for completing Company Information questions (rows 8 - 22).
Provide comments in ENGLISH only</v>
      </c>
      <c r="B6" s="126" t="s">
        <v>2518</v>
      </c>
    </row>
    <row r="7" spans="1:2" ht="15">
      <c r="A7" s="133" t="str">
        <f ca="1">OFFSET(L!$C$1,MATCH("Instructions"&amp;ADDRESS(ROW(),COLUMN(),4),L!$A:$A,0)-1,SL,,)</f>
        <v xml:space="preserve">Note:  Entries with (*) are mandatory fields. </v>
      </c>
      <c r="B7" s="126"/>
    </row>
    <row r="8" spans="1:2" ht="30">
      <c r="A8" s="133" t="str">
        <f ca="1">OFFSET(L!$C$1,MATCH("Instructions"&amp;ADDRESS(ROW(),COLUMN(),4),L!$A:$A,0)-1,SL,,)</f>
        <v>1. Insert your company's Legal Name.  Please do not use abbreviations. In this field you have the option to add other commercial names, DBAs, etc.</v>
      </c>
      <c r="B8" s="126"/>
    </row>
    <row r="9" spans="1:2" ht="300">
      <c r="A9" s="202"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26" t="s">
        <v>2517</v>
      </c>
    </row>
    <row r="10" spans="1:2" ht="15">
      <c r="A10" s="133" t="str">
        <f ca="1">OFFSET(L!$C$1,MATCH("Instructions"&amp;ADDRESS(ROW(),COLUMN(),4),L!$A:$A,0)-1,SL,,)</f>
        <v>3. Insert your company’s unique identifier number or code (DUNS number, VAT number, customer-specific identifier, etc.)</v>
      </c>
      <c r="B10" s="126"/>
    </row>
    <row r="11" spans="1:2" ht="15">
      <c r="A11" s="133" t="str">
        <f ca="1">OFFSET(L!$C$1,MATCH("Instructions"&amp;ADDRESS(ROW(),COLUMN(),4),L!$A:$A,0)-1,SL,,)</f>
        <v xml:space="preserve">4. Insert the source for the unique identifier number or code ("DUNS", "VAT", "Customer", etc).  </v>
      </c>
      <c r="B11" s="126"/>
    </row>
    <row r="12" spans="1:2" ht="30">
      <c r="A12" s="133" t="str">
        <f ca="1">OFFSET(L!$C$1,MATCH("Instructions"&amp;ADDRESS(ROW(),COLUMN(),4),L!$A:$A,0)-1,SL,,)</f>
        <v>5. Insert your full company address (street, city, state, country, postal code).  This field is optional.</v>
      </c>
      <c r="B12" s="126" t="s">
        <v>2518</v>
      </c>
    </row>
    <row r="13" spans="1:2" ht="15">
      <c r="A13" s="133" t="str">
        <f ca="1">OFFSET(L!$C$1,MATCH("Instructions"&amp;ADDRESS(ROW(),COLUMN(),4),L!$A:$A,0)-1,SL,,)</f>
        <v>6. Insert the name of the person to contact regarding the contents of the declaration information. This field is mandatory.</v>
      </c>
      <c r="B13" s="126"/>
    </row>
    <row r="14" spans="1:2" ht="30">
      <c r="A14" s="133" t="str">
        <f ca="1">OFFSET(L!$C$1,MATCH("Instructions"&amp;ADDRESS(ROW(),COLUMN(),4),L!$A:$A,0)-1,SL,,)</f>
        <v>7. Insert the email address of the contact person.  If an email address is not available, state ‘‘not available’’ or ‘‘n/a.’’ A blank field may cause an error in form implementation.  This field is mandatory.</v>
      </c>
      <c r="B14" s="126"/>
    </row>
    <row r="15" spans="1:2" ht="15">
      <c r="A15" s="133" t="str">
        <f ca="1">OFFSET(L!$C$1,MATCH("Instructions"&amp;ADDRESS(ROW(),COLUMN(),4),L!$A:$A,0)-1,SL,,)</f>
        <v>8. Insert the telephone number for the contact. This field is mandatory.</v>
      </c>
      <c r="B15" s="126"/>
    </row>
    <row r="16" spans="1:2" ht="45">
      <c r="A16" s="133"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26"/>
    </row>
    <row r="17" spans="1:2" ht="15">
      <c r="A17" s="133" t="str">
        <f ca="1">OFFSET(L!$C$1,MATCH("Instructions"&amp;ADDRESS(ROW(),COLUMN(),4),L!$A:$A,0)-1,SL,,)</f>
        <v>10. Insert the title for the Authorizing person. This field is optional.</v>
      </c>
      <c r="B17" s="126"/>
    </row>
    <row r="18" spans="1:2" ht="30">
      <c r="A18" s="133" t="str">
        <f ca="1">OFFSET(L!$C$1,MATCH("Instructions"&amp;ADDRESS(ROW(),COLUMN(),4),L!$A:$A,0)-1,SL,,)</f>
        <v>11. Insert the email address of the Authorizing person.  If an email address is not available, state ‘‘not available’’ or ‘‘n/a.’’ A blank field may cause an error in form implementation.  This field is mandatory.</v>
      </c>
      <c r="B18" s="126"/>
    </row>
    <row r="19" spans="1:2" ht="15">
      <c r="A19" s="133" t="str">
        <f ca="1">OFFSET(L!$C$1,MATCH("Instructions"&amp;ADDRESS(ROW(),COLUMN(),4),L!$A:$A,0)-1,SL,,)</f>
        <v>12. Insert the telephone number for the Authorizing person. This field is mandatory.</v>
      </c>
      <c r="B19" s="126"/>
    </row>
    <row r="20" spans="1:2" ht="15">
      <c r="A20" s="133" t="str">
        <f ca="1">OFFSET(L!$C$1,MATCH("Instructions"&amp;ADDRESS(ROW(),COLUMN(),4),L!$A:$A,0)-1,SL,,)</f>
        <v>13. Please enter the Date of Completion for this form using the format DD-MMM-YYYY.  This field is mandatory.</v>
      </c>
      <c r="B20" s="126"/>
    </row>
    <row r="21" spans="1:2" ht="30">
      <c r="A21" s="133" t="str">
        <f ca="1">OFFSET(L!$C$1,MATCH("Instructions"&amp;ADDRESS(ROW(),COLUMN(),4),L!$A:$A,0)-1,SL,,)</f>
        <v xml:space="preserve">14. As an example, the user may save the file name as:  companyname-date.xls (date as YYYY-MM-DD).  </v>
      </c>
      <c r="B21" s="126" t="s">
        <v>2518</v>
      </c>
    </row>
    <row r="22" spans="1:2" ht="15">
      <c r="A22" s="137"/>
      <c r="B22" s="126"/>
    </row>
    <row r="23" spans="1:2" ht="30">
      <c r="A23" s="136" t="str">
        <f ca="1">OFFSET(L!$C$1,MATCH("Instructions"&amp;ADDRESS(ROW(),COLUMN(),4),L!$A:$A,0)-1,SL,,)</f>
        <v>Instructions for completing the seven Due Diligence Questions (rows 24 - 65).
Provide answers in ENGLISH only</v>
      </c>
      <c r="B23" s="126" t="s">
        <v>2518</v>
      </c>
    </row>
    <row r="24" spans="1:2" ht="75">
      <c r="A24" s="133"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26" t="s">
        <v>2521</v>
      </c>
    </row>
    <row r="25" spans="1:2" ht="60">
      <c r="A25" s="133"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26" t="s">
        <v>2518</v>
      </c>
    </row>
    <row r="26" spans="1:2" ht="195">
      <c r="A26" s="133"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asks if any conflict minerals are used as raw material, component or additive in a product that you manufacture or contract to manufacture (including raw material and components). Impurities from raw materials, components, additives, abrasives, and cutting tools are outside the scope of the survey.
This question shall be answered for each 3TG. Valid responses to this question are either "yes" or "no". This question is mandatory.</v>
      </c>
      <c r="B26" s="126" t="s">
        <v>2518</v>
      </c>
    </row>
    <row r="27" spans="1:2" ht="30">
      <c r="A27" s="133" t="str">
        <f ca="1">OFFSET(L!$C$1,MATCH("Instructions"&amp;ADDRESS(ROW(),COLUMN(),4),L!$A:$A,0)-1,SL,,)</f>
        <v>Some companies may require substantiation for a "No" answer that should be entered into the Comment Field.</v>
      </c>
      <c r="B27" s="126" t="s">
        <v>2518</v>
      </c>
    </row>
    <row r="28" spans="1:2" ht="195">
      <c r="A28" s="133"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26"/>
    </row>
    <row r="29" spans="1:2" ht="105">
      <c r="A29" s="133" t="str">
        <f ca="1">OFFSET(L!$C$1,MATCH("Instructions"&amp;ADDRESS(ROW(),COLUMN(),4),L!$A:$A,0)-1,SL,,)</f>
        <v xml:space="preserve">3. This is a declaration that any portion of the 3TGs contained in a product or multiple products originates from the DRC or an adjoining country (covered countries). 
The answer to this query shall be "yes", "no", or "unknown". Substantiate a "Yes" answer in the comments section.
This question is mandatory for a specific metal if the response to Question 1 or 2 is “Yes” for that metal. </v>
      </c>
      <c r="B29" s="126" t="s">
        <v>2518</v>
      </c>
    </row>
    <row r="30" spans="1:2" ht="135">
      <c r="A30" s="133"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26" t="s">
        <v>2518</v>
      </c>
    </row>
    <row r="31" spans="1:2" ht="180">
      <c r="A31" s="133"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26" t="s">
        <v>2521</v>
      </c>
    </row>
    <row r="32" spans="1:2" ht="60">
      <c r="A32" s="133"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26"/>
    </row>
    <row r="33" spans="1:3" ht="60">
      <c r="A33" s="133"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26" t="s">
        <v>2518</v>
      </c>
    </row>
    <row r="34" spans="1:3" ht="15">
      <c r="A34" s="133" t="str">
        <f ca="1">OFFSET(L!$C$1,MATCH("Instructions"&amp;ADDRESS(ROW(),COLUMN(),4),L!$A:$A,0)-1,SL,,)</f>
        <v>Provide comments in the Comment sections as required to clarify your responses.</v>
      </c>
      <c r="B34" s="126"/>
    </row>
    <row r="35" spans="1:3" ht="15">
      <c r="A35" s="137"/>
      <c r="B35" s="126"/>
    </row>
    <row r="36" spans="1:3" ht="45">
      <c r="A36" s="136" t="str">
        <f ca="1">OFFSET(L!$C$1,MATCH("Instructions"&amp;ADDRESS(ROW(),COLUMN(),4),L!$A:$A,0)-1,SL,,)</f>
        <v>Instructions for completing Questions A. – J. (rows 69 - 87).  Questions A. through J. are mandatory if the response to Question 1 or 2 is “Yes” for any metal.
Provide answers in ENGLISH only</v>
      </c>
      <c r="B36" s="126" t="s">
        <v>2518</v>
      </c>
    </row>
    <row r="37" spans="1:3" ht="135">
      <c r="A37" s="133"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26" t="s">
        <v>2520</v>
      </c>
      <c r="C37"/>
    </row>
    <row r="38" spans="1:3" ht="15">
      <c r="A38" s="133" t="str">
        <f ca="1">OFFSET(L!$C$1,MATCH("Instructions"&amp;ADDRESS(ROW(),COLUMN(),4),L!$A:$A,0)-1,SL,,)</f>
        <v xml:space="preserve">A. Please answer “Yes” or “No”.  Provide any comments, if necessary. </v>
      </c>
      <c r="B38" s="126"/>
    </row>
    <row r="39" spans="1:3" ht="15">
      <c r="A39" s="133" t="str">
        <f ca="1">OFFSET(L!$C$1,MATCH("Instructions"&amp;ADDRESS(ROW(),COLUMN(),4),L!$A:$A,0)-1,SL,,)</f>
        <v>B. Please answer “Yes” or “No” If “Yes”, provide the web link in the comments section.</v>
      </c>
      <c r="B39" s="126"/>
    </row>
    <row r="40" spans="1:3" ht="75">
      <c r="A40" s="133" t="str">
        <f ca="1">OFFSET(L!$C$1,MATCH("Instructions"&amp;ADDRESS(ROW(),COLUMN(),4),L!$A:$A,0)-1,SL,,)</f>
        <v>C. Please answer “Yes” or “No”.  Provide any comments if necessary.  See Definitions worksheet for definition of "DRC conflict-free".</v>
      </c>
      <c r="B40" s="126" t="s">
        <v>2523</v>
      </c>
    </row>
    <row r="41" spans="1:3" ht="45">
      <c r="A41" s="133"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26" t="s">
        <v>2521</v>
      </c>
    </row>
    <row r="42" spans="1:3" ht="150">
      <c r="A42" s="133"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26" t="s">
        <v>2522</v>
      </c>
    </row>
    <row r="43" spans="1:3" ht="45">
      <c r="A43" s="133"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26" t="s">
        <v>2518</v>
      </c>
    </row>
    <row r="44" spans="1:3" ht="15">
      <c r="A44" s="133" t="str">
        <f ca="1">OFFSET(L!$C$1,MATCH("Instructions"&amp;ADDRESS(ROW(),COLUMN(),4),L!$A:$A,0)-1,SL,,)</f>
        <v>G. Please answer “Yes” or “No”.  Provide any comments, if necessary.</v>
      </c>
      <c r="B44" s="126"/>
    </row>
    <row r="45" spans="1:3" ht="120">
      <c r="A45" s="133"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26" t="s">
        <v>2519</v>
      </c>
    </row>
    <row r="46" spans="1:3" ht="30">
      <c r="A46" s="133" t="str">
        <f ca="1">OFFSET(L!$C$1,MATCH("Instructions"&amp;ADDRESS(ROW(),COLUMN(),4),L!$A:$A,0)-1,SL,,)</f>
        <v>I. Please answer “Yes” or “No”.  If “Yes”, please describe how you manage your corrective action process.</v>
      </c>
      <c r="B46" s="126" t="s">
        <v>2518</v>
      </c>
    </row>
    <row r="47" spans="1:3" ht="45">
      <c r="A47" s="133"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26" t="s">
        <v>2521</v>
      </c>
    </row>
    <row r="48" spans="1:3" ht="15">
      <c r="A48" s="137"/>
      <c r="B48" s="126"/>
    </row>
    <row r="49" spans="1:2" ht="30">
      <c r="A49" s="136" t="str">
        <f ca="1">OFFSET(L!$C$1,MATCH("Instructions"&amp;ADDRESS(ROW(),COLUMN(),4),L!$A:$A,0)-1,SL,,)</f>
        <v>Instructions for completing the Smelter List Tab.
Provide answers in ENGLISH only</v>
      </c>
      <c r="B49" s="126" t="s">
        <v>2518</v>
      </c>
    </row>
    <row r="50" spans="1:2" ht="15">
      <c r="A50" s="133" t="str">
        <f ca="1">OFFSET(L!$C$1,MATCH("Instructions"&amp;ADDRESS(ROW(),COLUMN(),4),L!$A:$A,0)-1,SL,,)</f>
        <v>Note:  Columns with (*) are mandatory fields</v>
      </c>
      <c r="B50" s="126"/>
    </row>
    <row r="51" spans="1:2" ht="60">
      <c r="A51" s="133"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26" t="s">
        <v>2517</v>
      </c>
    </row>
    <row r="52" spans="1:2" ht="30">
      <c r="A52" s="133" t="str">
        <f ca="1">OFFSET(L!$C$1,MATCH("Instructions"&amp;ADDRESS(ROW(),COLUMN(),4),L!$A:$A,0)-1,SL,,)</f>
        <v>1. Smelter Identification Input Column - If you know the Smelter Identification Number, input the number in Column A (columns B, C, D, E, F, G, I, and J will auto-populate).  Column A does not autopopulate.</v>
      </c>
      <c r="B52" s="126" t="s">
        <v>2518</v>
      </c>
    </row>
    <row r="53" spans="1:2" ht="30">
      <c r="A53" s="133" t="str">
        <f ca="1">OFFSET(L!$C$1,MATCH("Instructions"&amp;ADDRESS(ROW(),COLUMN(),4),L!$A:$A,0)-1,SL,,)</f>
        <v>2. Metal (*)   -   Use the pull down menu to select the metal for which you are entering smelter information.  This field is mandatory.</v>
      </c>
      <c r="B53" s="126"/>
    </row>
    <row r="54" spans="1:2" ht="60">
      <c r="A54" s="222" t="str">
        <f ca="1">OFFSET(L!$C$1,MATCH("Instructions"&amp;ADDRESS(ROW(),COLUMN(),4),L!$A:$A,0)-1,SL,,)</f>
        <v>3. Smelter Reference List(*) - Select from dropdown.  This is the list of known smelters as of template release date.  If smelter is not listed select 'Smelter Not Listed'.  This will allow you to enter the name of the smelter in Column D.  If you do not know the name or location of the smelter, select 'Smelter Not Yet Identified.'  For this option,  columns D and E will autopopulate to say, 'unknown.'  This field is mandatory.</v>
      </c>
      <c r="B54" s="126" t="s">
        <v>2518</v>
      </c>
    </row>
    <row r="55" spans="1:2" ht="60">
      <c r="A55" s="133" t="str">
        <f ca="1">OFFSET(L!$C$1,MATCH("Instructions"&amp;ADDRESS(ROW(),COLUMN(),4),L!$A:$A,0)-1,SL,,)</f>
        <v>4. Smelter Name (*)- Fill in smelter name if you selected "Smelter Not Listed" in column C.  This field will auto-populate when a smelter name in selected in Column C.  This field is mandatory.</v>
      </c>
      <c r="B55" s="126" t="s">
        <v>2517</v>
      </c>
    </row>
    <row r="56" spans="1:2" ht="75">
      <c r="A56" s="133" t="str">
        <f ca="1">OFFSET(L!$C$1,MATCH("Instructions"&amp;ADDRESS(ROW(),COLUMN(),4),L!$A:$A,0)-1,SL,,)</f>
        <v>5. Smelter Country (*) – This field will auto-populate when a smelter name is selected in column C. If you selected "Smelter Not Listed" in column C, use the pull down menu to select the country location of the smelter.  This field is mandatory.</v>
      </c>
      <c r="B56" s="126" t="s">
        <v>2523</v>
      </c>
    </row>
    <row r="57" spans="1:2" ht="60">
      <c r="A57" s="133" t="str">
        <f ca="1">OFFSET(L!$C$1,MATCH("Instructions"&amp;ADDRESS(ROW(),COLUMN(),4),L!$A:$A,0)-1,SL,,)</f>
        <v>6.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7" s="126" t="s">
        <v>2517</v>
      </c>
    </row>
    <row r="58" spans="1:2" ht="60">
      <c r="A58" s="133" t="str">
        <f ca="1">OFFSET(L!$C$1,MATCH("Instructions"&amp;ADDRESS(ROW(),COLUMN(),4),L!$A:$A,0)-1,SL,,)</f>
        <v xml:space="preserve">7. Source of Smelter Identification Number - This is the source of the Smelter Identification Number entered in Column F.  If a smelter name was selected in Column C using the dropdown box, this field will auto-populate. </v>
      </c>
      <c r="B58" s="126" t="s">
        <v>2517</v>
      </c>
    </row>
    <row r="59" spans="1:2" ht="60">
      <c r="A59" s="133" t="str">
        <f ca="1">OFFSET(L!$C$1,MATCH("Instructions"&amp;ADDRESS(ROW(),COLUMN(),4),L!$A:$A,0)-1,SL,,)</f>
        <v>8. Smelter Street -  Provide the street name on which the smelter is located. This field is optional.</v>
      </c>
      <c r="B59" s="126" t="s">
        <v>2517</v>
      </c>
    </row>
    <row r="60" spans="1:2" ht="30">
      <c r="A60" s="133" t="str">
        <f ca="1">OFFSET(L!$C$1,MATCH("Instructions"&amp;ADDRESS(ROW(),COLUMN(),4),L!$A:$A,0)-1,SL,,)</f>
        <v>9. Smelter City – Provide the city name of where the smelter is located. This field is optional.</v>
      </c>
      <c r="B60" s="126" t="s">
        <v>2518</v>
      </c>
    </row>
    <row r="61" spans="1:2" ht="45">
      <c r="A61" s="133" t="str">
        <f ca="1">OFFSET(L!$C$1,MATCH("Instructions"&amp;ADDRESS(ROW(),COLUMN(),4),L!$A:$A,0)-1,SL,,)</f>
        <v>10.. Smelter Location: State/Province, if applicable – Provide the state or province where the smelter is located. This field is optional.</v>
      </c>
      <c r="B61" s="126" t="s">
        <v>2521</v>
      </c>
    </row>
    <row r="62" spans="1:2" ht="180">
      <c r="A62" s="133" t="str">
        <f ca="1">OFFSET(L!$C$1,MATCH("Instructions"&amp;ADDRESS(ROW(),COLUMN(),4),L!$A:$A,0)-1,SL,,)</f>
        <v>11.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2" s="126" t="s">
        <v>2521</v>
      </c>
    </row>
    <row r="63" spans="1:2" ht="60">
      <c r="A63" s="133" t="str">
        <f ca="1">OFFSET(L!$C$1,MATCH("Instructions"&amp;ADDRESS(ROW(),COLUMN(),4),L!$A:$A,0)-1,SL,,)</f>
        <v>12. Smelter Contact Email – Fill in the email address of the Smelter Facility contact person who was identified as the Smelter Contact Name.  Example: John.Smith@SmelterXXX.com.  Please review the instructions for Smelter Contact Name before completing this field.</v>
      </c>
      <c r="B63" s="126" t="s">
        <v>2517</v>
      </c>
    </row>
    <row r="64" spans="1:2" ht="75">
      <c r="A64" s="133"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
"RCOI confirmed as per CFSI" may be an acceptable answer to this question.</v>
      </c>
      <c r="B64" s="126" t="s">
        <v>2517</v>
      </c>
    </row>
    <row r="65" spans="1:15" ht="90">
      <c r="A65" s="133"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
"RCOI confirmed as per CFSI" may be an acceptable answer to this question.</v>
      </c>
      <c r="B65" s="126"/>
    </row>
    <row r="66" spans="1:15" ht="30">
      <c r="A66" s="133"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26"/>
    </row>
    <row r="67" spans="1:15" ht="30">
      <c r="A67" s="133" t="str">
        <f ca="1">OFFSET(L!$C$1,MATCH("Instructions"&amp;ADDRESS(ROW(),COLUMN(),4),L!$A:$A,0)-1,SL,,)</f>
        <v>16. Comments – free form text field to enter any comments concerning the smelter.  Example: smelter is being acquired by Company YYY</v>
      </c>
      <c r="B67" s="126"/>
    </row>
    <row r="68" spans="1:15" s="28" customFormat="1" ht="15">
      <c r="A68" s="138"/>
      <c r="B68" s="126"/>
      <c r="C68" s="125"/>
      <c r="D68"/>
      <c r="E68"/>
      <c r="F68"/>
      <c r="G68"/>
      <c r="H68"/>
      <c r="I68"/>
      <c r="J68"/>
      <c r="K68"/>
      <c r="L68"/>
      <c r="M68"/>
      <c r="N68"/>
      <c r="O68"/>
    </row>
    <row r="69" spans="1:15" s="28" customFormat="1" ht="90">
      <c r="A69" s="136"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26"/>
      <c r="C69" s="125"/>
      <c r="D69"/>
      <c r="E69"/>
      <c r="F69"/>
      <c r="G69"/>
      <c r="H69"/>
      <c r="I69"/>
      <c r="J69"/>
      <c r="K69"/>
      <c r="L69"/>
      <c r="M69"/>
      <c r="N69"/>
      <c r="O69"/>
    </row>
    <row r="70" spans="1:15" s="28" customFormat="1" ht="15">
      <c r="A70" s="138"/>
      <c r="B70" s="126"/>
      <c r="C70" s="125"/>
      <c r="D70"/>
      <c r="E70"/>
      <c r="F70"/>
      <c r="G70"/>
      <c r="H70"/>
      <c r="I70"/>
      <c r="J70"/>
      <c r="K70"/>
      <c r="L70"/>
      <c r="M70"/>
      <c r="N70"/>
      <c r="O70"/>
    </row>
    <row r="71" spans="1:15" ht="30">
      <c r="A71" s="136" t="str">
        <f ca="1">OFFSET(L!$C$1,MATCH("Instructions"&amp;ADDRESS(ROW(),COLUMN(),4),L!$A:$A,0)-1,SL,,)</f>
        <v>TERMS AND CONDITIONS</v>
      </c>
      <c r="B71" s="126" t="s">
        <v>2518</v>
      </c>
    </row>
    <row r="72" spans="1:15" ht="165">
      <c r="A72" s="133"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26" t="s">
        <v>2524</v>
      </c>
    </row>
    <row r="73" spans="1:15" ht="90">
      <c r="A73" s="133"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26" t="s">
        <v>2522</v>
      </c>
    </row>
    <row r="74" spans="1:15" ht="75">
      <c r="A74" s="133"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26" t="s">
        <v>2523</v>
      </c>
    </row>
    <row r="75" spans="1:15" ht="165">
      <c r="A75" s="133"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26" t="s">
        <v>2524</v>
      </c>
    </row>
    <row r="76" spans="1:15" ht="60">
      <c r="A76" s="133"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26" t="s">
        <v>2517</v>
      </c>
    </row>
    <row r="77" spans="1:15" ht="30">
      <c r="A77" s="133" t="str">
        <f ca="1">OFFSET(L!$C$1,MATCH("Instructions"&amp;ADDRESS(ROW(),COLUMN(),4),L!$A:$A,0)-1,SL,,)</f>
        <v xml:space="preserve">By accessing and using the List or any Tool, and in consideration thereof, the User agrees to the foregoing. </v>
      </c>
      <c r="B77" s="126" t="s">
        <v>2518</v>
      </c>
    </row>
    <row r="78" spans="1:15" ht="30">
      <c r="A78" s="133"/>
      <c r="B78" s="126" t="s">
        <v>850</v>
      </c>
    </row>
    <row r="79" spans="1:15" ht="15">
      <c r="A79" s="133" t="str">
        <f ca="1">OFFSET(L!$C$1,MATCH("General"&amp;"Cpy",L!$A:$A,0)-1,SL,,)</f>
        <v>© 2016 Conflict-Free Sourcing Initiative. All rights reserved.</v>
      </c>
      <c r="B79" s="127"/>
    </row>
    <row r="80" spans="1:15" ht="15">
      <c r="A80" s="134" t="s">
        <v>1926</v>
      </c>
      <c r="B80" s="127"/>
    </row>
    <row r="81" spans="1:1" ht="15">
      <c r="A81" s="187" t="s">
        <v>4932</v>
      </c>
    </row>
  </sheetData>
  <sheetProtection password="E985" sheet="1" formatRows="0"/>
  <customSheetViews>
    <customSheetView guid="{81CF54B1-70AB-4A68-BB72-21925B5D4874}" hiddenColumns="1">
      <selection activeCell="C3" sqref="C3:G3"/>
      <pageMargins left="0.7" right="0.7" top="0.75" bottom="0.75" header="0.3" footer="0.3"/>
    </customSheetView>
  </customSheetViews>
  <phoneticPr fontId="31"/>
  <hyperlinks>
    <hyperlink ref="A80"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activeCell="B2" sqref="B2"/>
    </sheetView>
  </sheetViews>
  <sheetFormatPr defaultColWidth="8.75" defaultRowHeight="12.75"/>
  <cols>
    <col min="1" max="1" width="1.625" style="125" customWidth="1"/>
    <col min="2" max="2" width="35.5" style="125" customWidth="1"/>
    <col min="3" max="3" width="105.5" style="125" customWidth="1"/>
    <col min="4" max="5" width="1.625" style="125" customWidth="1"/>
    <col min="6" max="6" width="4.5" style="125" customWidth="1"/>
    <col min="7" max="7" width="4.875" style="125" customWidth="1"/>
    <col min="8" max="16384" width="8.75" style="125"/>
  </cols>
  <sheetData>
    <row r="1" spans="1:5" ht="13.5" thickTop="1">
      <c r="A1" s="331"/>
      <c r="B1" s="332"/>
      <c r="C1" s="332"/>
      <c r="D1" s="333"/>
    </row>
    <row r="2" spans="1:5" ht="71.099999999999994" customHeight="1">
      <c r="A2" s="94"/>
      <c r="B2" s="185" t="str">
        <f ca="1">OFFSET(L!$C$1,MATCH("Definitions"&amp;ADDRESS(ROW(),COLUMN(),4),L!$A:$A,0)-1,SL,,)</f>
        <v>ITEM</v>
      </c>
      <c r="C2" s="185" t="str">
        <f ca="1">OFFSET(L!$C$1,MATCH("Definitions"&amp;ADDRESS(ROW(),COLUMN(),4),L!$A:$A,0)-1,SL,,)</f>
        <v>DEFINITION</v>
      </c>
      <c r="D2" s="335"/>
      <c r="E2" s="139"/>
    </row>
    <row r="3" spans="1:5" ht="63.95" customHeight="1">
      <c r="A3" s="94"/>
      <c r="B3" s="80" t="str">
        <f ca="1">OFFSET(L!$C$1,MATCH("Definitions"&amp;ADDRESS(ROW(),COLUMN(),4),L!$A:$A,0)-1,SL,,)</f>
        <v>3TG</v>
      </c>
      <c r="C3" s="80" t="str">
        <f ca="1">OFFSET(L!$C$1,MATCH("Definitions"&amp;ADDRESS(ROW(),COLUMN(),4),L!$A:$A,0)-1,SL,,)</f>
        <v>Tantalum, tin, tungsten, gold</v>
      </c>
      <c r="D3" s="335"/>
      <c r="E3" s="140" t="s">
        <v>2526</v>
      </c>
    </row>
    <row r="4" spans="1:5" ht="45">
      <c r="A4" s="94"/>
      <c r="B4" s="80" t="str">
        <f ca="1">OFFSET(L!$C$1,MATCH("Definitions"&amp;ADDRESS(ROW(),COLUMN(),4),L!$A:$A,0)-1,SL,,)</f>
        <v>Authorizer</v>
      </c>
      <c r="C4" s="80"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35"/>
      <c r="E4" s="140"/>
    </row>
    <row r="5" spans="1:5" ht="150">
      <c r="A5" s="94"/>
      <c r="B5" s="80" t="str">
        <f ca="1">OFFSET(L!$C$1,MATCH("Definitions"&amp;ADDRESS(ROW(),COLUMN(),4),L!$A:$A,0)-1,SL,,)</f>
        <v>CFSP Compliant Smelter List</v>
      </c>
      <c r="C5" s="80"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35"/>
      <c r="E5" s="140" t="s">
        <v>2527</v>
      </c>
    </row>
    <row r="6" spans="1:5" ht="60">
      <c r="A6" s="94"/>
      <c r="B6" s="80" t="str">
        <f ca="1">OFFSET(L!$C$1,MATCH("Definitions"&amp;ADDRESS(ROW(),COLUMN(),4),L!$A:$A,0)-1,SL,,)</f>
        <v>Conflict-Free Smelter Program (CFSP)</v>
      </c>
      <c r="C6" s="80"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35"/>
      <c r="E6" s="140" t="s">
        <v>2527</v>
      </c>
    </row>
    <row r="7" spans="1:5" ht="150">
      <c r="A7" s="94"/>
      <c r="B7" s="80" t="str">
        <f ca="1">OFFSET(L!$C$1,MATCH("Definitions"&amp;ADDRESS(ROW(),COLUMN(),4),L!$A:$A,0)-1,SL,,)</f>
        <v>Conflict-Free Sourcing Initiative</v>
      </c>
      <c r="C7" s="80"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35"/>
      <c r="E7" s="140" t="s">
        <v>2530</v>
      </c>
    </row>
    <row r="8" spans="1:5" ht="105">
      <c r="A8" s="94"/>
      <c r="B8" s="80" t="str">
        <f ca="1">OFFSET(L!$C$1,MATCH("Definitions"&amp;ADDRESS(ROW(),COLUMN(),4),L!$A:$A,0)-1,SL,,)</f>
        <v>Conflict Mineral</v>
      </c>
      <c r="C8" s="80"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35"/>
      <c r="E8" s="140" t="s">
        <v>2527</v>
      </c>
    </row>
    <row r="9" spans="1:5" ht="75">
      <c r="A9" s="94"/>
      <c r="B9" s="80" t="str">
        <f ca="1">OFFSET(L!$C$1,MATCH("Definitions"&amp;ADDRESS(ROW(),COLUMN(),4),L!$A:$A,0)-1,SL,,)</f>
        <v>Covered Country(ies)</v>
      </c>
      <c r="C9" s="80"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35"/>
      <c r="E9" s="140" t="s">
        <v>2526</v>
      </c>
    </row>
    <row r="10" spans="1:5" ht="90">
      <c r="A10" s="94"/>
      <c r="B10" s="80" t="str">
        <f ca="1">OFFSET(L!$C$1,MATCH("Definitions"&amp;ADDRESS(ROW(),COLUMN(),4),L!$A:$A,0)-1,SL,,)</f>
        <v>Declaration Scope or Class</v>
      </c>
      <c r="C10" s="80"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35"/>
      <c r="E10" s="140" t="s">
        <v>2526</v>
      </c>
    </row>
    <row r="11" spans="1:5" ht="45">
      <c r="A11" s="94"/>
      <c r="B11" s="80" t="str">
        <f ca="1">OFFSET(L!$C$1,MATCH("Definitions"&amp;ADDRESS(ROW(),COLUMN(),4),L!$A:$A,0)-1,SL,,)</f>
        <v>Dodd-Frank</v>
      </c>
      <c r="C11" s="80" t="str">
        <f ca="1">OFFSET(L!$C$1,MATCH("Definitions"&amp;ADDRESS(ROW(),COLUMN(),4),L!$A:$A,0)-1,SL,,)</f>
        <v>2010 United States legislation, Dodd-Frank Wall Street Reform and Consumer Protection Act, Section 1502 (“Dodd-Frank”) (http://www.sec.gov/about/laws/wallstreetreform-cpa.pdf)</v>
      </c>
      <c r="D11" s="335"/>
      <c r="E11" s="140" t="s">
        <v>2526</v>
      </c>
    </row>
    <row r="12" spans="1:5" ht="75">
      <c r="A12" s="94"/>
      <c r="B12" s="80" t="str">
        <f ca="1">OFFSET(L!$C$1,MATCH("Definitions"&amp;ADDRESS(ROW(),COLUMN(),4),L!$A:$A,0)-1,SL,,)</f>
        <v>DRC</v>
      </c>
      <c r="C12" s="80" t="str">
        <f ca="1">OFFSET(L!$C$1,MATCH("Definitions"&amp;ADDRESS(ROW(),COLUMN(),4),L!$A:$A,0)-1,SL,,)</f>
        <v>Democratic Republic of Congo</v>
      </c>
      <c r="D12" s="335"/>
      <c r="E12" s="140" t="s">
        <v>2528</v>
      </c>
    </row>
    <row r="13" spans="1:5" ht="60">
      <c r="A13" s="94"/>
      <c r="B13" s="80" t="str">
        <f ca="1">OFFSET(L!$C$1,MATCH("Definitions"&amp;ADDRESS(ROW(),COLUMN(),4),L!$A:$A,0)-1,SL,,)</f>
        <v>DRC conflict-free</v>
      </c>
      <c r="C13" s="80"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35"/>
      <c r="E13" s="140" t="s">
        <v>2526</v>
      </c>
    </row>
    <row r="14" spans="1:5" ht="45">
      <c r="A14" s="94"/>
      <c r="B14" s="80" t="str">
        <f ca="1">OFFSET(L!$C$1,MATCH("Definitions"&amp;ADDRESS(ROW(),COLUMN(),4),L!$A:$A,0)-1,SL,,)</f>
        <v>EICC</v>
      </c>
      <c r="C14" s="80" t="str">
        <f ca="1">OFFSET(L!$C$1,MATCH("Definitions"&amp;ADDRESS(ROW(),COLUMN(),4),L!$A:$A,0)-1,SL,,)</f>
        <v>Electronic Industry Citizenship Coalition (www.eicc.info)</v>
      </c>
      <c r="D14" s="335"/>
      <c r="E14" s="140" t="s">
        <v>2526</v>
      </c>
    </row>
    <row r="15" spans="1:5" ht="45">
      <c r="A15" s="94"/>
      <c r="B15" s="80" t="str">
        <f ca="1">OFFSET(L!$C$1,MATCH("Definitions"&amp;ADDRESS(ROW(),COLUMN(),4),L!$A:$A,0)-1,SL,,)</f>
        <v xml:space="preserve">GeSI </v>
      </c>
      <c r="C15" s="80" t="str">
        <f ca="1">OFFSET(L!$C$1,MATCH("Definitions"&amp;ADDRESS(ROW(),COLUMN(),4),L!$A:$A,0)-1,SL,,)</f>
        <v>Global e-Sustainability Initiative (www.gesi.org)</v>
      </c>
      <c r="D15" s="335"/>
      <c r="E15" s="140" t="s">
        <v>2526</v>
      </c>
    </row>
    <row r="16" spans="1:5" ht="60">
      <c r="A16" s="94"/>
      <c r="B16" s="80" t="str">
        <f ca="1">OFFSET(L!$C$1,MATCH("Definitions"&amp;ADDRESS(ROW(),COLUMN(),4),L!$A:$A,0)-1,SL,,)</f>
        <v>Gold (Au) refiner (smelter)</v>
      </c>
      <c r="C16" s="80"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35"/>
      <c r="E16" s="140" t="s">
        <v>2526</v>
      </c>
    </row>
    <row r="17" spans="1:5" ht="75">
      <c r="A17" s="94"/>
      <c r="B17" s="80" t="str">
        <f ca="1">OFFSET(L!$C$1,MATCH("Definitions"&amp;ADDRESS(ROW(),COLUMN(),4),L!$A:$A,0)-1,SL,,)</f>
        <v>Independent Third-Party Audit Firm</v>
      </c>
      <c r="C17" s="80"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35"/>
      <c r="E17" s="140" t="s">
        <v>2526</v>
      </c>
    </row>
    <row r="18" spans="1:5" ht="300">
      <c r="A18" s="94"/>
      <c r="B18" s="80" t="str">
        <f ca="1">OFFSET(L!$C$1,MATCH("Definitions"&amp;ADDRESS(ROW(),COLUMN(),4),L!$A:$A,0)-1,SL,,)</f>
        <v>Intentionally added</v>
      </c>
      <c r="C18" s="80"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35"/>
      <c r="E18" s="140"/>
    </row>
    <row r="19" spans="1:5" ht="135">
      <c r="A19" s="94"/>
      <c r="B19" s="80" t="str">
        <f ca="1">OFFSET(L!$C$1,MATCH("Definitions"&amp;ADDRESS(ROW(),COLUMN(),4),L!$A:$A,0)-1,SL,,)</f>
        <v>IPC</v>
      </c>
      <c r="C19" s="80"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35"/>
      <c r="E19" s="140"/>
    </row>
    <row r="20" spans="1:5" ht="60">
      <c r="A20" s="94"/>
      <c r="B20" s="80" t="str">
        <f ca="1">OFFSET(L!$C$1,MATCH("Definitions"&amp;ADDRESS(ROW(),COLUMN(),4),L!$A:$A,0)-1,SL,,)</f>
        <v>IPC-1755 Conflict Minerals Data Exchange Standard</v>
      </c>
      <c r="C20" s="80"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35"/>
      <c r="E20" s="140"/>
    </row>
    <row r="21" spans="1:5" ht="180">
      <c r="A21" s="94"/>
      <c r="B21" s="80" t="str">
        <f ca="1">OFFSET(L!$C$1,MATCH("Definitions"&amp;ADDRESS(ROW(),COLUMN(),4),L!$A:$A,0)-1,SL,,)</f>
        <v>Necessary for the Functionality of a Product</v>
      </c>
      <c r="C21" s="80"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35"/>
      <c r="E21" s="140"/>
    </row>
    <row r="22" spans="1:5" ht="150">
      <c r="A22" s="94"/>
      <c r="B22" s="80" t="str">
        <f ca="1">OFFSET(L!$C$1,MATCH("Definitions"&amp;ADDRESS(ROW(),COLUMN(),4),L!$A:$A,0)-1,SL,,)</f>
        <v>Necessary for the Production of a Product</v>
      </c>
      <c r="C22" s="80"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35"/>
      <c r="E22" s="140"/>
    </row>
    <row r="23" spans="1:5" ht="15">
      <c r="A23" s="94"/>
      <c r="B23" s="80" t="str">
        <f ca="1">OFFSET(L!$C$1,MATCH("Definitions"&amp;ADDRESS(ROW(),COLUMN(),4),L!$A:$A,0)-1,SL,,)</f>
        <v>OECD</v>
      </c>
      <c r="C23" s="80" t="str">
        <f ca="1">OFFSET(L!$C$1,MATCH("Definitions"&amp;ADDRESS(ROW(),COLUMN(),4),L!$A:$A,0)-1,SL,,)</f>
        <v>Organisation for Economic Co-operation and Development</v>
      </c>
      <c r="D23" s="335"/>
      <c r="E23" s="140"/>
    </row>
    <row r="24" spans="1:5" ht="45">
      <c r="A24" s="94"/>
      <c r="B24" s="80" t="str">
        <f ca="1">OFFSET(L!$C$1,MATCH("Definitions"&amp;ADDRESS(ROW(),COLUMN(),4),L!$A:$A,0)-1,SL,,)</f>
        <v>Product</v>
      </c>
      <c r="C24" s="80" t="str">
        <f ca="1">OFFSET(L!$C$1,MATCH("Definitions"&amp;ADDRESS(ROW(),COLUMN(),4),L!$A:$A,0)-1,SL,,)</f>
        <v>A company’s Product or Finished good is a material or item which has completed the final stage of manufacturing and/or processing and is available for distribution or sale to customers.</v>
      </c>
      <c r="D24" s="335"/>
      <c r="E24" s="140" t="s">
        <v>2526</v>
      </c>
    </row>
    <row r="25" spans="1:5" ht="90">
      <c r="A25" s="94"/>
      <c r="B25" s="80" t="str">
        <f ca="1">OFFSET(L!$C$1,MATCH("Definitions"&amp;ADDRESS(ROW(),COLUMN(),4),L!$A:$A,0)-1,SL,,)</f>
        <v>Recycled or Scrap Sources</v>
      </c>
      <c r="C25" s="80"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35"/>
      <c r="E25" s="140" t="s">
        <v>2528</v>
      </c>
    </row>
    <row r="26" spans="1:5" ht="45">
      <c r="A26" s="94"/>
      <c r="B26" s="80" t="str">
        <f ca="1">OFFSET(L!$C$1,MATCH("Definitions"&amp;ADDRESS(ROW(),COLUMN(),4),L!$A:$A,0)-1,SL,,)</f>
        <v>SEC</v>
      </c>
      <c r="C26" s="80" t="str">
        <f ca="1">OFFSET(L!$C$1,MATCH("Definitions"&amp;ADDRESS(ROW(),COLUMN(),4),L!$A:$A,0)-1,SL,,)</f>
        <v>U.S. Securities and Exchange Commission (www.sec.gov)</v>
      </c>
      <c r="D26" s="335"/>
      <c r="E26" s="140" t="s">
        <v>2526</v>
      </c>
    </row>
    <row r="27" spans="1:5" ht="75">
      <c r="A27" s="94"/>
      <c r="B27" s="80" t="str">
        <f ca="1">OFFSET(L!$C$1,MATCH("Definitions"&amp;ADDRESS(ROW(),COLUMN(),4),L!$A:$A,0)-1,SL,,)</f>
        <v>Smelter</v>
      </c>
      <c r="C27" s="80"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35"/>
      <c r="E27" s="140" t="s">
        <v>2527</v>
      </c>
    </row>
    <row r="28" spans="1:5" ht="75">
      <c r="A28" s="94"/>
      <c r="B28" s="80" t="str">
        <f ca="1">OFFSET(L!$C$1,MATCH("Definitions"&amp;ADDRESS(ROW(),COLUMN(),4),L!$A:$A,0)-1,SL,,)</f>
        <v>Smelter Identification Number</v>
      </c>
      <c r="C28" s="80"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35"/>
      <c r="E28" s="140" t="s">
        <v>2528</v>
      </c>
    </row>
    <row r="29" spans="1:5" ht="105">
      <c r="A29" s="94"/>
      <c r="B29" s="80" t="str">
        <f ca="1">OFFSET(L!$C$1,MATCH("Definitions"&amp;ADDRESS(ROW(),COLUMN(),4),L!$A:$A,0)-1,SL,,)</f>
        <v>Tantalum (Ta) smelter</v>
      </c>
      <c r="C29" s="80"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35"/>
      <c r="E29" s="140" t="s">
        <v>2529</v>
      </c>
    </row>
    <row r="30" spans="1:5" ht="105">
      <c r="A30" s="94"/>
      <c r="B30" s="80" t="str">
        <f ca="1">OFFSET(L!$C$1,MATCH("Definitions"&amp;ADDRESS(ROW(),COLUMN(),4),L!$A:$A,0)-1,SL,,)</f>
        <v>Tin (Sn) smelter</v>
      </c>
      <c r="C30" s="80"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35"/>
      <c r="E30" s="140"/>
    </row>
    <row r="31" spans="1:5" ht="105">
      <c r="A31" s="94"/>
      <c r="B31" s="80" t="str">
        <f ca="1">OFFSET(L!$C$1,MATCH("Definitions"&amp;ADDRESS(ROW(),COLUMN(),4),L!$A:$A,0)-1,SL,,)</f>
        <v>Tungsten (W) smelter</v>
      </c>
      <c r="C31" s="80"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35"/>
      <c r="E31" s="140"/>
    </row>
    <row r="32" spans="1:5" ht="15">
      <c r="A32" s="94"/>
      <c r="B32" s="334" t="str">
        <f ca="1">OFFSET(L!$C$1,MATCH("General"&amp;"Cpy",L!$A:$A,0)-1,SL,,)</f>
        <v>© 2016 Conflict-Free Sourcing Initiative. All rights reserved.</v>
      </c>
      <c r="C32" s="334"/>
      <c r="D32" s="335"/>
      <c r="E32" s="140"/>
    </row>
    <row r="33" spans="1:4" ht="13.5" thickBot="1">
      <c r="A33" s="95"/>
      <c r="B33" s="216"/>
      <c r="C33" s="216"/>
      <c r="D33" s="336"/>
    </row>
    <row r="34" spans="1:4" ht="13.5" thickTop="1"/>
  </sheetData>
  <sheetProtection password="E985" sheet="1" formatColumns="0"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topLeftCell="A73" zoomScale="115" zoomScaleNormal="115" workbookViewId="0">
      <selection activeCell="G29" sqref="G29:J29"/>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25" customWidth="1"/>
    <col min="13" max="15" width="4.875" style="125" customWidth="1"/>
    <col min="16" max="20" width="9.125" hidden="1" customWidth="1"/>
    <col min="21" max="24" width="9.125" customWidth="1"/>
  </cols>
  <sheetData>
    <row r="1" spans="1:34" ht="15.75" thickTop="1">
      <c r="A1" s="367"/>
      <c r="B1" s="368"/>
      <c r="C1" s="368"/>
      <c r="D1" s="368"/>
      <c r="E1" s="368"/>
      <c r="F1" s="368"/>
      <c r="G1" s="368"/>
      <c r="H1" s="368"/>
      <c r="I1" s="368"/>
      <c r="J1" s="368"/>
      <c r="K1" s="369"/>
      <c r="L1" s="151"/>
      <c r="M1" s="142"/>
      <c r="N1" s="142"/>
      <c r="O1" s="143"/>
      <c r="P1" s="12"/>
      <c r="Q1" s="12"/>
      <c r="R1" s="12"/>
      <c r="S1" s="12"/>
      <c r="T1" s="12"/>
      <c r="U1" s="12"/>
      <c r="V1" s="12"/>
      <c r="W1" s="12"/>
      <c r="X1" s="12"/>
      <c r="Y1" s="12"/>
      <c r="Z1" s="12"/>
      <c r="AA1" s="12"/>
      <c r="AB1" s="12"/>
      <c r="AC1" s="12"/>
      <c r="AD1" s="12"/>
      <c r="AE1" s="12"/>
      <c r="AF1" s="12"/>
      <c r="AG1" s="12"/>
      <c r="AH1" s="12"/>
    </row>
    <row r="2" spans="1:34" ht="82.15" customHeight="1">
      <c r="A2" s="48"/>
      <c r="B2" s="184"/>
      <c r="C2" s="49"/>
      <c r="D2" s="370" t="str">
        <f ca="1">OFFSET(L!$C$1,MATCH("Declaration"&amp;ADDRESS(ROW(),COLUMN(),4),L!$A:$A,0)-1,SL,,)</f>
        <v>Conflict Minerals Reporting Template (CMRT)</v>
      </c>
      <c r="E2" s="371"/>
      <c r="F2" s="371"/>
      <c r="G2" s="371"/>
      <c r="H2" s="371"/>
      <c r="I2" s="371"/>
      <c r="J2" s="372"/>
      <c r="K2" s="50"/>
      <c r="L2" s="152"/>
      <c r="M2" s="144"/>
      <c r="N2" s="145"/>
      <c r="O2" s="145"/>
      <c r="P2" s="12"/>
      <c r="Q2" s="12"/>
      <c r="R2" s="12"/>
      <c r="S2" s="12"/>
      <c r="T2" s="12"/>
      <c r="U2" s="12"/>
      <c r="V2" s="12"/>
      <c r="W2" s="12"/>
      <c r="X2" s="12"/>
      <c r="Y2" s="12"/>
      <c r="Z2" s="12"/>
      <c r="AA2" s="12"/>
      <c r="AB2" s="12"/>
      <c r="AC2" s="12"/>
      <c r="AD2" s="12"/>
      <c r="AE2" s="12"/>
      <c r="AF2" s="12"/>
      <c r="AG2" s="12"/>
      <c r="AH2" s="12"/>
    </row>
    <row r="3" spans="1:34" ht="139.5" customHeight="1">
      <c r="A3" s="48"/>
      <c r="B3" s="183" t="s">
        <v>4871</v>
      </c>
      <c r="C3" s="18"/>
      <c r="D3" s="51" t="s">
        <v>1503</v>
      </c>
      <c r="E3" s="12"/>
      <c r="F3" s="380" t="str">
        <f ca="1">IF(AND($D$8="",$I$3=""),"",OFFSET(L!$C$1,MATCH("Declaration"&amp;ADDRESS(ROW(),COLUMN(),4),L!$A:$A,0)-1,SL,,))</f>
        <v>Click here to check required fields completion</v>
      </c>
      <c r="G3" s="380"/>
      <c r="H3" s="380"/>
      <c r="I3" s="215" t="str">
        <f ca="1">IF(AND(Checker!D2&lt;&gt;47,VALUE(Checker!D2)&gt;0),OFFSET(L!$C$1,MATCH("Declaration"&amp;ADDRESS(ROW(),COLUMN(),4),L!$A:$A,0)-1,SL,,),"")</f>
        <v/>
      </c>
      <c r="J3" s="186" t="s">
        <v>4931</v>
      </c>
      <c r="K3" s="50"/>
      <c r="L3" s="151"/>
      <c r="M3" s="142"/>
      <c r="N3" s="142"/>
      <c r="O3" s="143"/>
      <c r="P3" s="156">
        <f>MATCH($D$3,LN,0)</f>
        <v>1</v>
      </c>
    </row>
    <row r="4" spans="1:34" ht="15.75">
      <c r="A4" s="48"/>
      <c r="B4" s="376" t="str">
        <f ca="1">OFFSET(L!$C$1,MATCH("Declaration"&amp;ADDRESS(ROW(),COLUMN(),4),L!$A:$A,0)-1,SL,,)</f>
        <v>The purpose of this document is to collect sourcing information on tin, tantalum, tungsten and gold used in products</v>
      </c>
      <c r="C4" s="376"/>
      <c r="D4" s="376"/>
      <c r="E4" s="376"/>
      <c r="F4" s="376"/>
      <c r="G4" s="376"/>
      <c r="H4" s="376"/>
      <c r="I4" s="381" t="str">
        <f ca="1">OFFSET(L!$C$1,MATCH("Declaration"&amp;ADDRESS(ROW(),COLUMN(),4),L!$A:$A,0)-1,SL,,)</f>
        <v>Link to Terms &amp; Conditions</v>
      </c>
      <c r="J4" s="381"/>
      <c r="K4" s="50"/>
      <c r="L4" s="153"/>
      <c r="M4" s="142"/>
      <c r="N4" s="142"/>
      <c r="O4" s="143"/>
      <c r="P4" s="12"/>
      <c r="Q4" s="12"/>
      <c r="R4" s="12"/>
      <c r="S4" s="12"/>
      <c r="T4" s="12"/>
      <c r="U4" s="12"/>
      <c r="V4" s="12"/>
      <c r="W4" s="12"/>
      <c r="X4" s="12"/>
      <c r="Y4" s="12"/>
      <c r="Z4" s="12"/>
      <c r="AA4" s="12"/>
      <c r="AB4" s="12"/>
      <c r="AC4" s="12"/>
      <c r="AD4" s="12"/>
      <c r="AE4" s="12"/>
      <c r="AF4" s="12"/>
      <c r="AG4" s="12"/>
      <c r="AH4" s="12"/>
    </row>
    <row r="5" spans="1:34" ht="15">
      <c r="A5" s="182" t="str">
        <f>LEFT(D9,1)</f>
        <v>A</v>
      </c>
      <c r="B5" s="19"/>
      <c r="C5" s="19"/>
      <c r="D5" s="19"/>
      <c r="E5" s="19"/>
      <c r="F5" s="19"/>
      <c r="G5" s="19"/>
      <c r="H5" s="19"/>
      <c r="I5" s="19"/>
      <c r="J5" s="19"/>
      <c r="K5" s="50"/>
      <c r="L5" s="153"/>
      <c r="M5" s="146"/>
      <c r="N5" s="146"/>
      <c r="O5" s="146"/>
      <c r="P5" s="17"/>
      <c r="Q5" s="17"/>
      <c r="R5" s="17"/>
      <c r="S5" s="17"/>
      <c r="T5" s="17"/>
      <c r="U5" s="17"/>
      <c r="V5" s="17"/>
      <c r="W5" s="17"/>
      <c r="X5" s="17"/>
      <c r="Y5" s="17"/>
      <c r="Z5" s="17"/>
      <c r="AA5" s="17"/>
      <c r="AB5" s="17"/>
      <c r="AC5" s="17"/>
      <c r="AD5" s="17"/>
      <c r="AE5" s="17"/>
      <c r="AF5" s="17"/>
      <c r="AG5" s="17"/>
      <c r="AH5" s="17"/>
    </row>
    <row r="6" spans="1:34" ht="30">
      <c r="A6" s="48"/>
      <c r="B6" s="376" t="str">
        <f ca="1">OFFSET(L!$C$1,MATCH("Declaration"&amp;ADDRESS(ROW(),COLUMN(),4),L!$A:$A,0)-1,SL,,)</f>
        <v>Mandatory fields are noted with an asterisk (*).</v>
      </c>
      <c r="C6" s="376"/>
      <c r="D6" s="376"/>
      <c r="E6" s="376"/>
      <c r="F6" s="376"/>
      <c r="G6" s="376"/>
      <c r="H6" s="376"/>
      <c r="I6" s="376"/>
      <c r="J6" s="376"/>
      <c r="K6" s="50"/>
      <c r="L6" s="153" t="s">
        <v>852</v>
      </c>
      <c r="M6" s="142"/>
      <c r="N6" s="142"/>
      <c r="O6" s="143"/>
      <c r="P6" s="12"/>
      <c r="Q6" s="12"/>
      <c r="R6" s="12"/>
      <c r="S6" s="12"/>
      <c r="T6" s="12"/>
      <c r="U6" s="12"/>
      <c r="V6" s="12"/>
      <c r="W6" s="12"/>
      <c r="X6" s="12"/>
      <c r="Y6" s="12"/>
      <c r="Z6" s="12"/>
      <c r="AA6" s="12"/>
      <c r="AB6" s="12"/>
      <c r="AC6" s="12"/>
      <c r="AD6" s="12"/>
      <c r="AE6" s="12"/>
      <c r="AF6" s="12"/>
      <c r="AG6" s="12"/>
      <c r="AH6" s="12"/>
    </row>
    <row r="7" spans="1:34" ht="15.75">
      <c r="A7" s="48"/>
      <c r="B7" s="364" t="str">
        <f ca="1">OFFSET(L!$C$1,MATCH("Declaration"&amp;ADDRESS(ROW(),COLUMN(),4),L!$A:$A,0)-1,SL,,)</f>
        <v>Company Information</v>
      </c>
      <c r="C7" s="364"/>
      <c r="D7" s="364"/>
      <c r="E7" s="364"/>
      <c r="F7" s="364"/>
      <c r="G7" s="364"/>
      <c r="H7" s="364"/>
      <c r="I7" s="364"/>
      <c r="J7" s="364"/>
      <c r="K7" s="50"/>
      <c r="L7" s="153"/>
      <c r="M7" s="142"/>
      <c r="N7" s="142"/>
      <c r="O7" s="143"/>
      <c r="P7" s="12"/>
      <c r="Q7" s="12"/>
      <c r="R7" s="12"/>
      <c r="S7" s="12"/>
      <c r="T7" s="12"/>
      <c r="U7" s="12"/>
      <c r="V7" s="12"/>
      <c r="W7" s="12"/>
      <c r="X7" s="12"/>
      <c r="Y7" s="12"/>
      <c r="Z7" s="12"/>
      <c r="AA7" s="12"/>
      <c r="AB7" s="12"/>
      <c r="AC7" s="12"/>
      <c r="AD7" s="12"/>
      <c r="AE7" s="12"/>
      <c r="AF7" s="12"/>
      <c r="AG7" s="12"/>
      <c r="AH7" s="12"/>
    </row>
    <row r="8" spans="1:34" ht="15.75">
      <c r="A8" s="52"/>
      <c r="B8" s="93" t="str">
        <f ca="1">OFFSET(L!$C$1,MATCH("Declaration"&amp;ADDRESS(ROW(),COLUMN(),4),L!$A:$A,0)-1,SL,,)</f>
        <v>Company Name (*):</v>
      </c>
      <c r="C8" s="96"/>
      <c r="D8" s="373" t="s">
        <v>4992</v>
      </c>
      <c r="E8" s="374"/>
      <c r="F8" s="374"/>
      <c r="G8" s="374"/>
      <c r="H8" s="374"/>
      <c r="I8" s="374"/>
      <c r="J8" s="375"/>
      <c r="K8" s="53"/>
      <c r="L8" s="153"/>
      <c r="M8" s="142"/>
      <c r="N8" s="142"/>
      <c r="O8" s="143"/>
      <c r="P8" s="12"/>
      <c r="Q8" s="12"/>
      <c r="R8" s="12"/>
      <c r="S8" s="12"/>
      <c r="T8" s="12"/>
      <c r="U8" s="12"/>
      <c r="V8" s="12"/>
      <c r="W8" s="12"/>
      <c r="X8" s="12"/>
      <c r="Y8" s="12"/>
      <c r="Z8" s="12"/>
      <c r="AA8" s="12"/>
      <c r="AB8" s="12"/>
      <c r="AC8" s="12"/>
      <c r="AD8" s="12"/>
      <c r="AE8" s="12"/>
      <c r="AF8" s="12"/>
      <c r="AG8" s="12"/>
      <c r="AH8" s="12"/>
    </row>
    <row r="9" spans="1:34" ht="15.75">
      <c r="A9" s="52"/>
      <c r="B9" s="93" t="str">
        <f ca="1">OFFSET(L!$C$1,MATCH("Declaration"&amp;ADDRESS(ROW(),COLUMN(),4),L!$A:$A,0)-1,SL,,)</f>
        <v>Declaration Scope or Class (*):</v>
      </c>
      <c r="C9" s="96"/>
      <c r="D9" s="361" t="s">
        <v>915</v>
      </c>
      <c r="E9" s="362"/>
      <c r="F9" s="362"/>
      <c r="G9" s="363"/>
      <c r="H9" s="72"/>
      <c r="I9" s="72"/>
      <c r="J9" s="72"/>
      <c r="K9" s="50"/>
      <c r="L9" s="153"/>
      <c r="M9" s="142"/>
      <c r="N9" s="142"/>
      <c r="O9" s="143"/>
      <c r="P9" s="156" t="s">
        <v>915</v>
      </c>
      <c r="Q9" s="156" t="s">
        <v>916</v>
      </c>
      <c r="R9" s="156" t="s">
        <v>917</v>
      </c>
      <c r="S9" s="156"/>
      <c r="T9" s="44"/>
      <c r="U9" s="12"/>
      <c r="V9" s="12"/>
      <c r="W9" s="12"/>
      <c r="X9" s="12"/>
      <c r="Y9" s="12"/>
      <c r="Z9" s="12"/>
      <c r="AA9" s="12"/>
      <c r="AB9" s="12"/>
      <c r="AC9" s="12"/>
      <c r="AD9" s="12"/>
      <c r="AE9" s="12"/>
      <c r="AF9" s="12"/>
      <c r="AG9" s="12"/>
      <c r="AH9" s="12"/>
    </row>
    <row r="10" spans="1:34" ht="32.450000000000003" customHeight="1">
      <c r="A10" s="52"/>
      <c r="B10" s="365" t="str">
        <f ca="1">OFFSET(L!$C$1,MATCH("Declaration"&amp;ADDRESS(ROW(),COLUMN(),4)&amp;LEFT($D$9,1),L!$A:$A,0)-1,SL,,)</f>
        <v>Description of Scope:</v>
      </c>
      <c r="C10" s="166"/>
      <c r="D10" s="377"/>
      <c r="E10" s="378"/>
      <c r="F10" s="378"/>
      <c r="G10" s="378"/>
      <c r="H10" s="378"/>
      <c r="I10" s="378"/>
      <c r="J10" s="379"/>
      <c r="K10" s="50"/>
      <c r="L10" s="153"/>
      <c r="M10" s="142"/>
      <c r="N10" s="142"/>
      <c r="O10" s="143"/>
      <c r="Q10" s="12"/>
      <c r="R10" s="12"/>
      <c r="S10" s="12"/>
      <c r="T10" s="12"/>
      <c r="U10" s="12"/>
      <c r="V10" s="12"/>
      <c r="W10" s="12"/>
      <c r="X10" s="12"/>
      <c r="Y10" s="12"/>
      <c r="Z10" s="12"/>
      <c r="AA10" s="12"/>
      <c r="AB10" s="12"/>
      <c r="AC10" s="12"/>
      <c r="AD10" s="12"/>
      <c r="AE10" s="12"/>
      <c r="AF10" s="12"/>
      <c r="AG10" s="12"/>
      <c r="AH10" s="12"/>
    </row>
    <row r="11" spans="1:34" ht="15.75">
      <c r="A11" s="52"/>
      <c r="B11" s="366"/>
      <c r="C11" s="166"/>
      <c r="D11" s="382" t="str">
        <f ca="1">IF(D9=Q9,OFFSET(L!$C$1,MATCH("Declaration"&amp;ADDRESS(ROW(),COLUMN(),4),L!$A:$A,0)-1,SL,,),"")</f>
        <v/>
      </c>
      <c r="E11" s="383"/>
      <c r="F11" s="383"/>
      <c r="G11" s="383"/>
      <c r="H11" s="383"/>
      <c r="I11" s="383"/>
      <c r="J11" s="384"/>
      <c r="K11" s="50"/>
      <c r="L11" s="153"/>
      <c r="M11" s="142"/>
      <c r="N11" s="142"/>
      <c r="O11" s="143"/>
      <c r="Q11" s="12"/>
      <c r="R11" s="12"/>
      <c r="S11" s="12"/>
      <c r="T11" s="12"/>
      <c r="U11" s="12"/>
      <c r="V11" s="12"/>
      <c r="W11" s="12"/>
      <c r="X11" s="12"/>
      <c r="Y11" s="12"/>
      <c r="Z11" s="12"/>
      <c r="AA11" s="12"/>
      <c r="AB11" s="12"/>
      <c r="AC11" s="12"/>
      <c r="AD11" s="12"/>
      <c r="AE11" s="12"/>
      <c r="AF11" s="12"/>
      <c r="AG11" s="12"/>
      <c r="AH11" s="12"/>
    </row>
    <row r="12" spans="1:34" ht="15.75">
      <c r="A12" s="52"/>
      <c r="B12" s="54" t="str">
        <f ca="1">OFFSET(L!$C$1,MATCH("Declaration"&amp;ADDRESS(ROW(),COLUMN(),4),L!$A:$A,0)-1,SL,,)</f>
        <v>Company Unique ID:</v>
      </c>
      <c r="C12" s="97"/>
      <c r="D12" s="349"/>
      <c r="E12" s="350"/>
      <c r="F12" s="350"/>
      <c r="G12" s="350"/>
      <c r="H12" s="350"/>
      <c r="I12" s="350"/>
      <c r="J12" s="351"/>
      <c r="K12" s="50"/>
      <c r="L12" s="153"/>
      <c r="M12" s="142"/>
      <c r="N12" s="142"/>
      <c r="O12" s="143"/>
      <c r="Q12" s="12"/>
      <c r="R12" s="12"/>
      <c r="S12" s="12"/>
      <c r="T12" s="12"/>
      <c r="U12" s="12"/>
      <c r="V12" s="12"/>
      <c r="W12" s="12"/>
      <c r="X12" s="12"/>
      <c r="Y12" s="12"/>
      <c r="Z12" s="12"/>
      <c r="AA12" s="12"/>
      <c r="AB12" s="12"/>
      <c r="AC12" s="12"/>
      <c r="AD12" s="12"/>
      <c r="AE12" s="12"/>
      <c r="AF12" s="12"/>
      <c r="AG12" s="12"/>
      <c r="AH12" s="12"/>
    </row>
    <row r="13" spans="1:34" ht="15.75">
      <c r="A13" s="52"/>
      <c r="B13" s="54" t="str">
        <f ca="1">OFFSET(L!$C$1,MATCH("Declaration"&amp;ADDRESS(ROW(),COLUMN(),4),L!$A:$A,0)-1,SL,,)</f>
        <v>Company Unique ID Authority:</v>
      </c>
      <c r="C13" s="97"/>
      <c r="D13" s="352"/>
      <c r="E13" s="353"/>
      <c r="F13" s="353"/>
      <c r="G13" s="353"/>
      <c r="H13" s="353"/>
      <c r="I13" s="353"/>
      <c r="J13" s="354"/>
      <c r="K13" s="50"/>
      <c r="L13" s="153"/>
      <c r="M13" s="142"/>
      <c r="N13" s="142"/>
      <c r="O13" s="143"/>
      <c r="Q13" s="12"/>
      <c r="R13" s="12"/>
      <c r="S13" s="12"/>
      <c r="T13" s="12"/>
      <c r="U13" s="12"/>
      <c r="V13" s="12"/>
      <c r="W13" s="12"/>
      <c r="X13" s="12"/>
      <c r="Y13" s="12"/>
      <c r="Z13" s="12"/>
      <c r="AA13" s="12"/>
      <c r="AB13" s="12"/>
      <c r="AC13" s="12"/>
      <c r="AD13" s="12"/>
      <c r="AE13" s="12"/>
      <c r="AF13" s="12"/>
      <c r="AG13" s="12"/>
      <c r="AH13" s="12"/>
    </row>
    <row r="14" spans="1:34" ht="15.75">
      <c r="A14" s="52"/>
      <c r="B14" s="54" t="str">
        <f ca="1">OFFSET(L!$C$1,MATCH("Declaration"&amp;ADDRESS(ROW(),COLUMN(),4),L!$A:$A,0)-1,SL,,)</f>
        <v>Address:</v>
      </c>
      <c r="C14" s="97"/>
      <c r="D14" s="352" t="s">
        <v>4993</v>
      </c>
      <c r="E14" s="353"/>
      <c r="F14" s="353"/>
      <c r="G14" s="353"/>
      <c r="H14" s="353"/>
      <c r="I14" s="353"/>
      <c r="J14" s="354"/>
      <c r="K14" s="50"/>
      <c r="L14" s="153"/>
      <c r="M14" s="142"/>
      <c r="N14" s="142"/>
      <c r="O14" s="143"/>
      <c r="Q14" s="12"/>
      <c r="R14" s="12"/>
      <c r="S14" s="12"/>
      <c r="T14" s="12"/>
      <c r="U14" s="12"/>
      <c r="V14" s="12"/>
      <c r="W14" s="12"/>
      <c r="X14" s="12"/>
      <c r="Y14" s="12"/>
      <c r="Z14" s="12"/>
      <c r="AA14" s="12"/>
      <c r="AB14" s="12"/>
      <c r="AC14" s="12"/>
      <c r="AD14" s="12"/>
      <c r="AE14" s="12"/>
      <c r="AF14" s="12"/>
      <c r="AG14" s="12"/>
      <c r="AH14" s="12"/>
    </row>
    <row r="15" spans="1:34" ht="15.75">
      <c r="A15" s="52"/>
      <c r="B15" s="54" t="str">
        <f ca="1">OFFSET(L!$C$1,MATCH("Declaration"&amp;ADDRESS(ROW(),COLUMN(),4),L!$A:$A,0)-1,SL,,)</f>
        <v>Contact Name (*):</v>
      </c>
      <c r="C15" s="97"/>
      <c r="D15" s="352" t="s">
        <v>4994</v>
      </c>
      <c r="E15" s="353"/>
      <c r="F15" s="353"/>
      <c r="G15" s="353"/>
      <c r="H15" s="353"/>
      <c r="I15" s="353"/>
      <c r="J15" s="354"/>
      <c r="K15" s="50"/>
      <c r="L15" s="153"/>
      <c r="M15" s="142"/>
      <c r="N15" s="142"/>
      <c r="O15" s="143"/>
      <c r="Q15" s="12"/>
      <c r="R15" s="12"/>
      <c r="S15" s="12"/>
      <c r="T15" s="12"/>
      <c r="U15" s="12"/>
      <c r="V15" s="12"/>
      <c r="W15" s="12"/>
      <c r="X15" s="12"/>
      <c r="Y15" s="12"/>
      <c r="Z15" s="12"/>
      <c r="AA15" s="12"/>
      <c r="AB15" s="12"/>
      <c r="AC15" s="12"/>
      <c r="AD15" s="12"/>
      <c r="AE15" s="12"/>
      <c r="AF15" s="12"/>
      <c r="AG15" s="12"/>
      <c r="AH15" s="12"/>
    </row>
    <row r="16" spans="1:34" ht="15.75">
      <c r="A16" s="52"/>
      <c r="B16" s="54" t="str">
        <f ca="1">OFFSET(L!$C$1,MATCH("Declaration"&amp;ADDRESS(ROW(),COLUMN(),4),L!$A:$A,0)-1,SL,,)</f>
        <v>Email – Contact (*):</v>
      </c>
      <c r="C16" s="97"/>
      <c r="D16" s="349" t="s">
        <v>4995</v>
      </c>
      <c r="E16" s="350"/>
      <c r="F16" s="350"/>
      <c r="G16" s="350"/>
      <c r="H16" s="350"/>
      <c r="I16" s="350"/>
      <c r="J16" s="351"/>
      <c r="K16" s="50"/>
      <c r="L16" s="153"/>
      <c r="M16" s="142"/>
      <c r="N16" s="142"/>
      <c r="O16" s="143"/>
      <c r="Q16" s="12"/>
      <c r="R16" s="12"/>
      <c r="S16" s="12"/>
      <c r="T16" s="12"/>
      <c r="U16" s="12"/>
      <c r="V16" s="12"/>
      <c r="W16" s="12"/>
      <c r="X16" s="12"/>
      <c r="Y16" s="12"/>
      <c r="Z16" s="12"/>
      <c r="AA16" s="12"/>
      <c r="AB16" s="12"/>
      <c r="AC16" s="12"/>
      <c r="AD16" s="12"/>
      <c r="AE16" s="12"/>
      <c r="AF16" s="12"/>
      <c r="AG16" s="12"/>
      <c r="AH16" s="12"/>
    </row>
    <row r="17" spans="1:34" ht="15.75">
      <c r="A17" s="52"/>
      <c r="B17" s="54" t="str">
        <f ca="1">OFFSET(L!$C$1,MATCH("Declaration"&amp;ADDRESS(ROW(),COLUMN(),4),L!$A:$A,0)-1,SL,,)</f>
        <v>Phone – Contact (*):</v>
      </c>
      <c r="C17" s="97"/>
      <c r="D17" s="352" t="s">
        <v>4996</v>
      </c>
      <c r="E17" s="353"/>
      <c r="F17" s="353"/>
      <c r="G17" s="353"/>
      <c r="H17" s="353"/>
      <c r="I17" s="353"/>
      <c r="J17" s="354"/>
      <c r="K17" s="50"/>
      <c r="L17" s="153"/>
      <c r="M17" s="142"/>
      <c r="N17" s="142"/>
      <c r="O17" s="143"/>
      <c r="Q17" s="12"/>
      <c r="R17" s="12"/>
      <c r="S17" s="12"/>
      <c r="T17" s="12"/>
      <c r="U17" s="12"/>
      <c r="V17" s="12"/>
      <c r="W17" s="12"/>
      <c r="X17" s="12"/>
      <c r="Y17" s="12"/>
      <c r="Z17" s="12"/>
      <c r="AA17" s="12"/>
      <c r="AB17" s="12"/>
      <c r="AC17" s="12"/>
      <c r="AD17" s="12"/>
      <c r="AE17" s="12"/>
      <c r="AF17" s="12"/>
      <c r="AG17" s="12"/>
      <c r="AH17" s="12"/>
    </row>
    <row r="18" spans="1:34" ht="22.5">
      <c r="A18" s="52"/>
      <c r="B18" s="54" t="str">
        <f ca="1">OFFSET(L!$C$1,MATCH("Declaration"&amp;ADDRESS(ROW(),COLUMN(),4),L!$A:$A,0)-1,SL,,)</f>
        <v>Authorizer (*):</v>
      </c>
      <c r="C18" s="97"/>
      <c r="D18" s="352" t="s">
        <v>4994</v>
      </c>
      <c r="E18" s="353"/>
      <c r="F18" s="353"/>
      <c r="G18" s="353"/>
      <c r="H18" s="353"/>
      <c r="I18" s="353"/>
      <c r="J18" s="354"/>
      <c r="K18" s="50"/>
      <c r="L18" s="147"/>
      <c r="M18" s="142"/>
      <c r="N18" s="142"/>
      <c r="O18" s="143"/>
      <c r="Q18" s="12"/>
      <c r="R18" s="12"/>
      <c r="S18" s="12"/>
      <c r="T18" s="12"/>
      <c r="U18" s="12"/>
      <c r="V18" s="12"/>
      <c r="W18" s="12"/>
      <c r="X18" s="12"/>
      <c r="Y18" s="12"/>
      <c r="Z18" s="12"/>
      <c r="AA18" s="12"/>
      <c r="AB18" s="12"/>
      <c r="AC18" s="12"/>
      <c r="AD18" s="12"/>
      <c r="AE18" s="12"/>
      <c r="AF18" s="12"/>
      <c r="AG18" s="12"/>
      <c r="AH18" s="12"/>
    </row>
    <row r="19" spans="1:34" ht="22.5">
      <c r="A19" s="52"/>
      <c r="B19" s="54" t="str">
        <f ca="1">OFFSET(L!$C$1,MATCH("Declaration"&amp;ADDRESS(ROW(),COLUMN(),4),L!$A:$A,0)-1,SL,,)</f>
        <v>Title - Authorizer:</v>
      </c>
      <c r="C19" s="97"/>
      <c r="D19" s="352"/>
      <c r="E19" s="353"/>
      <c r="F19" s="353"/>
      <c r="G19" s="353"/>
      <c r="H19" s="353"/>
      <c r="I19" s="353"/>
      <c r="J19" s="354"/>
      <c r="K19" s="50"/>
      <c r="L19" s="147"/>
      <c r="M19" s="142"/>
      <c r="N19" s="142"/>
      <c r="O19" s="143"/>
      <c r="P19" s="12"/>
      <c r="Q19" s="12"/>
      <c r="R19" s="12"/>
      <c r="S19" s="12"/>
      <c r="T19" s="12"/>
      <c r="U19" s="12"/>
      <c r="V19" s="12"/>
      <c r="W19" s="12"/>
      <c r="X19" s="12"/>
      <c r="Y19" s="12"/>
      <c r="Z19" s="12"/>
      <c r="AA19" s="12"/>
      <c r="AB19" s="12"/>
      <c r="AC19" s="12"/>
      <c r="AD19" s="12"/>
      <c r="AE19" s="12"/>
      <c r="AF19" s="12"/>
      <c r="AG19" s="12"/>
      <c r="AH19" s="12"/>
    </row>
    <row r="20" spans="1:34" ht="22.5">
      <c r="A20" s="52"/>
      <c r="B20" s="54" t="str">
        <f ca="1">OFFSET(L!$C$1,MATCH("Declaration"&amp;ADDRESS(ROW(),COLUMN(),4),L!$A:$A,0)-1,SL,,)</f>
        <v>Email - Authorizer (*):</v>
      </c>
      <c r="C20" s="97"/>
      <c r="D20" s="377" t="s">
        <v>4995</v>
      </c>
      <c r="E20" s="378"/>
      <c r="F20" s="378"/>
      <c r="G20" s="378"/>
      <c r="H20" s="378"/>
      <c r="I20" s="378"/>
      <c r="J20" s="379"/>
      <c r="K20" s="50"/>
      <c r="L20" s="147"/>
      <c r="M20" s="142"/>
      <c r="N20" s="142"/>
      <c r="O20" s="143"/>
      <c r="P20" s="12"/>
      <c r="Q20" s="12"/>
      <c r="R20" s="12"/>
      <c r="S20" s="12"/>
      <c r="T20" s="12"/>
      <c r="U20" s="12"/>
      <c r="V20" s="12"/>
      <c r="W20" s="12"/>
      <c r="X20" s="12"/>
      <c r="Y20" s="12"/>
      <c r="Z20" s="12"/>
      <c r="AA20" s="12"/>
      <c r="AB20" s="12"/>
      <c r="AC20" s="12"/>
      <c r="AD20" s="12"/>
      <c r="AE20" s="12"/>
      <c r="AF20" s="12"/>
      <c r="AG20" s="12"/>
      <c r="AH20" s="12"/>
    </row>
    <row r="21" spans="1:34" ht="15.75">
      <c r="A21" s="52"/>
      <c r="B21" s="54" t="str">
        <f ca="1">OFFSET(L!$C$1,MATCH("Declaration"&amp;ADDRESS(ROW(),COLUMN(),4),L!$A:$A,0)-1,SL,,)</f>
        <v>Phone - Authorizer (*):</v>
      </c>
      <c r="C21" s="181"/>
      <c r="D21" s="386" t="s">
        <v>4996</v>
      </c>
      <c r="E21" s="387"/>
      <c r="F21" s="387"/>
      <c r="G21" s="387"/>
      <c r="H21" s="387"/>
      <c r="I21" s="387"/>
      <c r="J21" s="388"/>
      <c r="K21" s="50"/>
      <c r="L21" s="153"/>
      <c r="M21" s="144"/>
      <c r="N21" s="142"/>
      <c r="O21" s="143"/>
      <c r="P21" s="12"/>
      <c r="Q21" s="12"/>
      <c r="R21" s="12"/>
      <c r="S21" s="12"/>
      <c r="T21" s="12"/>
      <c r="U21" s="12"/>
      <c r="V21" s="12"/>
      <c r="W21" s="12"/>
      <c r="X21" s="12"/>
      <c r="Y21" s="12"/>
      <c r="Z21" s="12"/>
      <c r="AA21" s="12"/>
      <c r="AB21" s="12"/>
      <c r="AC21" s="12"/>
      <c r="AD21" s="12"/>
      <c r="AE21" s="12"/>
      <c r="AF21" s="12"/>
      <c r="AG21" s="12"/>
      <c r="AH21" s="12"/>
    </row>
    <row r="22" spans="1:34" ht="18">
      <c r="A22" s="52"/>
      <c r="B22" s="54" t="str">
        <f ca="1">OFFSET(L!$C$1,MATCH("Declaration"&amp;ADDRESS(ROW(),COLUMN(),4),L!$A:$A,0)-1,SL,,)</f>
        <v>Effective Date (*):</v>
      </c>
      <c r="C22" s="98"/>
      <c r="D22" s="389">
        <v>42765</v>
      </c>
      <c r="E22" s="390"/>
      <c r="F22" s="300"/>
      <c r="G22" s="301"/>
      <c r="H22" s="301"/>
      <c r="I22" s="301"/>
      <c r="J22" s="301"/>
      <c r="K22" s="50"/>
      <c r="L22" s="151"/>
      <c r="M22" s="142"/>
      <c r="N22" s="142"/>
      <c r="O22" s="143"/>
      <c r="P22" s="12"/>
      <c r="Q22" s="12"/>
      <c r="R22" s="12"/>
      <c r="S22" s="12"/>
      <c r="T22" s="12"/>
      <c r="U22" s="12"/>
      <c r="V22" s="12"/>
      <c r="W22" s="12"/>
      <c r="X22" s="12"/>
      <c r="Y22" s="12"/>
      <c r="Z22" s="12"/>
      <c r="AA22" s="12"/>
      <c r="AB22" s="12"/>
      <c r="AC22" s="12"/>
      <c r="AD22" s="12"/>
      <c r="AE22" s="12"/>
      <c r="AF22" s="12"/>
      <c r="AG22" s="12"/>
      <c r="AH22" s="12"/>
    </row>
    <row r="23" spans="1:34" ht="18">
      <c r="A23" s="55"/>
      <c r="B23" s="99"/>
      <c r="C23" s="20"/>
      <c r="D23" s="355"/>
      <c r="E23" s="355"/>
      <c r="F23" s="14"/>
      <c r="G23" s="167"/>
      <c r="H23" s="167"/>
      <c r="I23" s="167"/>
      <c r="J23" s="167"/>
      <c r="K23" s="50"/>
      <c r="L23" s="148"/>
      <c r="M23" s="142"/>
      <c r="N23" s="142"/>
      <c r="O23" s="143"/>
      <c r="P23" s="23"/>
      <c r="Q23" s="12"/>
      <c r="R23" s="12"/>
      <c r="S23" s="12"/>
      <c r="T23" s="12"/>
      <c r="U23" s="12"/>
      <c r="V23" s="12"/>
      <c r="W23" s="12"/>
      <c r="X23" s="12"/>
      <c r="Y23" s="12"/>
      <c r="Z23" s="12"/>
      <c r="AA23" s="12"/>
      <c r="AB23" s="12"/>
      <c r="AC23" s="12"/>
      <c r="AD23" s="12"/>
      <c r="AE23" s="12"/>
      <c r="AF23" s="12"/>
      <c r="AG23" s="12"/>
      <c r="AH23" s="12"/>
    </row>
    <row r="24" spans="1:34" ht="15.75">
      <c r="A24" s="56"/>
      <c r="B24" s="391" t="str">
        <f ca="1">OFFSET(L!$C$1,MATCH("Declaration"&amp;ADDRESS(ROW(),COLUMN(),4),L!$A:$A,0)-1,SL,,)</f>
        <v>Answer the following questions 1 - 7 based on the declaration scope indicated above</v>
      </c>
      <c r="C24" s="391"/>
      <c r="D24" s="391"/>
      <c r="E24" s="391"/>
      <c r="F24" s="391"/>
      <c r="G24" s="391"/>
      <c r="H24" s="391"/>
      <c r="I24" s="391"/>
      <c r="J24" s="391"/>
      <c r="K24" s="57"/>
      <c r="L24" s="148"/>
      <c r="M24" s="142"/>
      <c r="N24" s="142"/>
      <c r="O24" s="143"/>
      <c r="P24" s="23"/>
      <c r="Q24" s="12"/>
      <c r="R24" s="12"/>
      <c r="S24" s="12"/>
      <c r="T24" s="12"/>
      <c r="U24" s="12"/>
      <c r="V24" s="12"/>
      <c r="W24" s="12"/>
      <c r="X24" s="12"/>
      <c r="Y24" s="12"/>
      <c r="Z24" s="12"/>
      <c r="AA24" s="12"/>
      <c r="AB24" s="12"/>
      <c r="AC24" s="12"/>
      <c r="AD24" s="12"/>
      <c r="AE24" s="12"/>
      <c r="AF24" s="12"/>
      <c r="AG24" s="12"/>
      <c r="AH24" s="12"/>
    </row>
    <row r="25" spans="1:34" ht="45.75">
      <c r="A25" s="55"/>
      <c r="B25" s="58" t="str">
        <f ca="1">OFFSET(L!$C$1,MATCH("Declaration"&amp;ADDRESS(ROW(),COLUMN(),4),L!$A:$A,0)-1,SL,,)</f>
        <v>1) Is the 3TG intentionally added to your product? (*)</v>
      </c>
      <c r="C25" s="20"/>
      <c r="D25" s="360" t="str">
        <f ca="1">OFFSET(L!$C$1,MATCH("Declaration"&amp;ADDRESS(ROW(),COLUMN(),4),L!$A:$A,0)-1,SL,,)</f>
        <v>Answer</v>
      </c>
      <c r="E25" s="360"/>
      <c r="F25" s="21"/>
      <c r="G25" s="58" t="str">
        <f ca="1">OFFSET(L!$C$1,MATCH("Declaration"&amp;ADDRESS(ROW(),COLUMN(),4),L!$A:$A,0)-1,SL,,)</f>
        <v>Comments</v>
      </c>
      <c r="H25" s="58"/>
      <c r="I25" s="58"/>
      <c r="J25" s="103"/>
      <c r="K25" s="50"/>
      <c r="L25" s="148" t="s">
        <v>2435</v>
      </c>
      <c r="M25" s="142"/>
      <c r="N25" s="142"/>
      <c r="O25" s="143"/>
      <c r="P25" s="23"/>
      <c r="Q25" s="12"/>
      <c r="R25" s="12"/>
      <c r="S25" s="12"/>
      <c r="T25" s="12"/>
      <c r="U25" s="12"/>
      <c r="V25" s="12"/>
      <c r="W25" s="12"/>
      <c r="X25" s="12"/>
      <c r="Y25" s="12"/>
      <c r="Z25" s="12"/>
      <c r="AA25" s="12"/>
      <c r="AB25" s="12"/>
      <c r="AC25" s="12"/>
      <c r="AD25" s="12"/>
      <c r="AE25" s="12"/>
      <c r="AF25" s="12"/>
      <c r="AG25" s="12"/>
      <c r="AH25" s="12"/>
    </row>
    <row r="26" spans="1:34" ht="22.5">
      <c r="A26" s="55"/>
      <c r="B26" s="54" t="str">
        <f ca="1">OFFSET(L!$C$1,MATCH("Declaration"&amp;ADDRESS(ROW(),COLUMN(),4),L!$A:$A,0)-1,SL,,)&amp;P26</f>
        <v>Tantalum  (*)</v>
      </c>
      <c r="C26" s="49"/>
      <c r="D26" s="342" t="s">
        <v>904</v>
      </c>
      <c r="E26" s="343"/>
      <c r="F26" s="15"/>
      <c r="G26" s="339"/>
      <c r="H26" s="340"/>
      <c r="I26" s="340"/>
      <c r="J26" s="341"/>
      <c r="K26" s="50"/>
      <c r="L26" s="154"/>
      <c r="M26" s="144"/>
      <c r="N26" s="142"/>
      <c r="O26" s="143"/>
      <c r="P26" s="156" t="s">
        <v>927</v>
      </c>
      <c r="R26" s="12"/>
      <c r="S26" s="12"/>
      <c r="T26" s="12"/>
      <c r="U26" s="12"/>
      <c r="V26" s="12"/>
      <c r="W26" s="12"/>
      <c r="X26" s="12"/>
      <c r="Y26" s="12"/>
      <c r="Z26" s="12"/>
      <c r="AA26" s="12"/>
      <c r="AB26" s="12"/>
      <c r="AC26" s="12"/>
      <c r="AD26" s="12"/>
      <c r="AE26" s="12"/>
      <c r="AF26" s="12"/>
      <c r="AG26" s="12"/>
      <c r="AH26" s="12"/>
    </row>
    <row r="27" spans="1:34" ht="22.5">
      <c r="A27" s="55"/>
      <c r="B27" s="54" t="str">
        <f ca="1">OFFSET(L!$C$1,MATCH("Declaration"&amp;ADDRESS(ROW(),COLUMN(),4),L!$A:$A,0)-1,SL,,)&amp;P27</f>
        <v>Tin  (*)</v>
      </c>
      <c r="C27" s="49"/>
      <c r="D27" s="342" t="s">
        <v>904</v>
      </c>
      <c r="E27" s="343"/>
      <c r="F27" s="15"/>
      <c r="G27" s="339"/>
      <c r="H27" s="340"/>
      <c r="I27" s="340"/>
      <c r="J27" s="341"/>
      <c r="K27" s="50"/>
      <c r="L27" s="154"/>
      <c r="M27" s="142"/>
      <c r="N27" s="142"/>
      <c r="O27" s="142"/>
      <c r="P27" s="156" t="s">
        <v>927</v>
      </c>
      <c r="R27" s="12"/>
      <c r="S27" s="12"/>
      <c r="T27" s="12"/>
      <c r="U27" s="12"/>
      <c r="V27" s="12"/>
      <c r="W27" s="12"/>
      <c r="X27" s="12"/>
      <c r="Y27" s="12"/>
      <c r="Z27" s="12"/>
      <c r="AA27" s="12"/>
      <c r="AB27" s="12"/>
      <c r="AC27" s="12"/>
      <c r="AD27" s="12"/>
      <c r="AE27" s="12"/>
      <c r="AF27" s="12"/>
      <c r="AG27" s="12"/>
      <c r="AH27" s="12"/>
    </row>
    <row r="28" spans="1:34" ht="22.5">
      <c r="A28" s="55"/>
      <c r="B28" s="54" t="str">
        <f ca="1">OFFSET(L!$C$1,MATCH("Declaration"&amp;ADDRESS(ROW(),COLUMN(),4),L!$A:$A,0)-1,SL,,)&amp;P28</f>
        <v>Gold  (*)</v>
      </c>
      <c r="C28" s="49"/>
      <c r="D28" s="342" t="s">
        <v>904</v>
      </c>
      <c r="E28" s="343"/>
      <c r="F28" s="15"/>
      <c r="G28" s="339"/>
      <c r="H28" s="340"/>
      <c r="I28" s="340"/>
      <c r="J28" s="341"/>
      <c r="K28" s="50"/>
      <c r="L28" s="154"/>
      <c r="M28" s="142"/>
      <c r="N28" s="142"/>
      <c r="O28" s="142"/>
      <c r="P28" s="156" t="s">
        <v>927</v>
      </c>
      <c r="R28" s="12"/>
      <c r="S28" s="12"/>
      <c r="T28" s="12"/>
      <c r="U28" s="12"/>
      <c r="V28" s="12"/>
      <c r="W28" s="12"/>
      <c r="X28" s="12"/>
      <c r="Y28" s="12"/>
      <c r="Z28" s="12"/>
      <c r="AA28" s="12"/>
      <c r="AB28" s="12"/>
      <c r="AC28" s="12"/>
      <c r="AD28" s="12"/>
      <c r="AE28" s="12"/>
      <c r="AF28" s="12"/>
      <c r="AG28" s="12"/>
      <c r="AH28" s="12"/>
    </row>
    <row r="29" spans="1:34" ht="22.5">
      <c r="A29" s="55"/>
      <c r="B29" s="54" t="str">
        <f ca="1">OFFSET(L!$C$1,MATCH("Declaration"&amp;ADDRESS(ROW(),COLUMN(),4),L!$A:$A,0)-1,SL,,)&amp;P29</f>
        <v>Tungsten  (*)</v>
      </c>
      <c r="C29" s="49"/>
      <c r="D29" s="342" t="s">
        <v>905</v>
      </c>
      <c r="E29" s="343"/>
      <c r="F29" s="15"/>
      <c r="G29" s="339"/>
      <c r="H29" s="340"/>
      <c r="I29" s="340"/>
      <c r="J29" s="341"/>
      <c r="K29" s="50"/>
      <c r="L29" s="154"/>
      <c r="M29" s="142"/>
      <c r="N29" s="142"/>
      <c r="O29" s="142"/>
      <c r="P29" s="156" t="s">
        <v>927</v>
      </c>
      <c r="R29" s="12"/>
      <c r="S29" s="12"/>
      <c r="T29" s="12"/>
      <c r="U29" s="12"/>
      <c r="V29" s="12"/>
      <c r="W29" s="12"/>
      <c r="X29" s="12"/>
      <c r="Y29" s="12"/>
      <c r="Z29" s="12"/>
      <c r="AA29" s="12"/>
      <c r="AB29" s="12"/>
      <c r="AC29" s="12"/>
      <c r="AD29" s="12"/>
      <c r="AE29" s="12"/>
      <c r="AF29" s="12"/>
      <c r="AG29" s="12"/>
      <c r="AH29" s="12"/>
    </row>
    <row r="30" spans="1:34" ht="18">
      <c r="A30" s="55"/>
      <c r="B30" s="60"/>
      <c r="C30" s="13"/>
      <c r="D30" s="60"/>
      <c r="E30" s="60"/>
      <c r="F30" s="27"/>
      <c r="G30" s="60"/>
      <c r="H30" s="168"/>
      <c r="I30" s="168"/>
      <c r="J30" s="168"/>
      <c r="K30" s="50"/>
      <c r="L30" s="148"/>
      <c r="M30" s="142"/>
      <c r="N30" s="142"/>
      <c r="O30" s="142"/>
      <c r="R30" s="12"/>
      <c r="S30" s="12"/>
      <c r="T30" s="12"/>
      <c r="U30" s="12"/>
      <c r="V30" s="12"/>
      <c r="W30" s="12"/>
      <c r="X30" s="12"/>
      <c r="Y30" s="12"/>
      <c r="Z30" s="12"/>
      <c r="AA30" s="12"/>
      <c r="AB30" s="12"/>
      <c r="AC30" s="12"/>
      <c r="AD30" s="12"/>
      <c r="AE30" s="12"/>
      <c r="AF30" s="12"/>
      <c r="AG30" s="12"/>
      <c r="AH30" s="12"/>
    </row>
    <row r="31" spans="1:34" ht="50.45" customHeight="1">
      <c r="A31" s="55"/>
      <c r="B31" s="58" t="str">
        <f ca="1">OFFSET(L!$C$1,MATCH("Declaration"&amp;ADDRESS(ROW(),COLUMN(),4),L!$A:$A,0)-1,SL,,)</f>
        <v>2) Is the 3TG necessary to the production of your company’s products and contained in the finished product that your company manufactures or contracts to manufacture?  (*)</v>
      </c>
      <c r="C31" s="13"/>
      <c r="D31" s="385" t="str">
        <f ca="1">D25</f>
        <v>Answer</v>
      </c>
      <c r="E31" s="385"/>
      <c r="F31" s="21"/>
      <c r="G31" s="58" t="str">
        <f ca="1">G25</f>
        <v>Comments</v>
      </c>
      <c r="H31" s="58"/>
      <c r="I31" s="58"/>
      <c r="J31" s="103"/>
      <c r="K31" s="50"/>
      <c r="L31" s="148" t="s">
        <v>2437</v>
      </c>
      <c r="M31" s="142"/>
      <c r="N31" s="142"/>
      <c r="O31" s="143"/>
      <c r="P31" s="12"/>
      <c r="Q31" s="12"/>
      <c r="R31" s="12"/>
      <c r="S31" s="12"/>
      <c r="T31" s="12"/>
      <c r="U31" s="12"/>
      <c r="V31" s="12"/>
      <c r="W31" s="12"/>
      <c r="X31" s="12"/>
      <c r="Y31" s="12"/>
      <c r="Z31" s="12"/>
      <c r="AA31" s="12"/>
      <c r="AB31" s="12"/>
      <c r="AC31" s="12"/>
      <c r="AD31" s="12"/>
      <c r="AE31" s="12"/>
      <c r="AF31" s="12"/>
      <c r="AG31" s="12"/>
      <c r="AH31" s="12"/>
    </row>
    <row r="32" spans="1:34" ht="22.5">
      <c r="A32" s="55"/>
      <c r="B32" s="54" t="str">
        <f ca="1">B26</f>
        <v>Tantalum  (*)</v>
      </c>
      <c r="C32" s="13"/>
      <c r="D32" s="342" t="s">
        <v>904</v>
      </c>
      <c r="E32" s="343"/>
      <c r="F32" s="61"/>
      <c r="G32" s="339"/>
      <c r="H32" s="340"/>
      <c r="I32" s="340"/>
      <c r="J32" s="341"/>
      <c r="K32" s="50"/>
      <c r="L32" s="154"/>
      <c r="M32" s="144"/>
      <c r="N32" s="142"/>
      <c r="O32" s="143"/>
      <c r="Q32" s="12"/>
      <c r="R32" s="12"/>
      <c r="S32" s="12"/>
      <c r="T32" s="12"/>
      <c r="U32" s="12"/>
      <c r="V32" s="12"/>
      <c r="W32" s="12"/>
      <c r="X32" s="12"/>
      <c r="Y32" s="12"/>
      <c r="Z32" s="12"/>
      <c r="AA32" s="12"/>
      <c r="AB32" s="12"/>
      <c r="AC32" s="12"/>
      <c r="AD32" s="12"/>
      <c r="AE32" s="12"/>
      <c r="AF32" s="12"/>
      <c r="AG32" s="12"/>
      <c r="AH32" s="12"/>
    </row>
    <row r="33" spans="1:34" ht="22.5">
      <c r="A33" s="55"/>
      <c r="B33" s="54" t="str">
        <f ca="1">B27</f>
        <v>Tin  (*)</v>
      </c>
      <c r="C33" s="13"/>
      <c r="D33" s="342" t="s">
        <v>904</v>
      </c>
      <c r="E33" s="343"/>
      <c r="F33" s="61"/>
      <c r="G33" s="339"/>
      <c r="H33" s="340"/>
      <c r="I33" s="340"/>
      <c r="J33" s="341"/>
      <c r="K33" s="50"/>
      <c r="L33" s="154"/>
      <c r="M33" s="142"/>
      <c r="N33" s="142"/>
      <c r="O33" s="143"/>
      <c r="Q33" s="12"/>
      <c r="R33" s="12"/>
      <c r="S33" s="12"/>
      <c r="T33" s="12"/>
      <c r="U33" s="12"/>
      <c r="V33" s="12"/>
      <c r="W33" s="12"/>
      <c r="X33" s="12"/>
      <c r="Y33" s="12"/>
      <c r="Z33" s="12"/>
      <c r="AA33" s="12"/>
      <c r="AB33" s="12"/>
      <c r="AC33" s="12"/>
      <c r="AD33" s="12"/>
      <c r="AE33" s="12"/>
      <c r="AF33" s="12"/>
      <c r="AG33" s="12"/>
      <c r="AH33" s="12"/>
    </row>
    <row r="34" spans="1:34" ht="22.5">
      <c r="A34" s="55"/>
      <c r="B34" s="54" t="str">
        <f ca="1">B28</f>
        <v>Gold  (*)</v>
      </c>
      <c r="C34" s="13"/>
      <c r="D34" s="342" t="s">
        <v>904</v>
      </c>
      <c r="E34" s="343"/>
      <c r="F34" s="61"/>
      <c r="G34" s="339"/>
      <c r="H34" s="340"/>
      <c r="I34" s="340"/>
      <c r="J34" s="341"/>
      <c r="K34" s="50"/>
      <c r="L34" s="154"/>
      <c r="M34" s="142"/>
      <c r="N34" s="142"/>
      <c r="O34" s="143"/>
      <c r="Q34" s="12"/>
      <c r="R34" s="12"/>
      <c r="S34" s="12"/>
      <c r="T34" s="12"/>
      <c r="U34" s="12"/>
      <c r="V34" s="12"/>
      <c r="W34" s="12"/>
      <c r="X34" s="12"/>
      <c r="Y34" s="12"/>
      <c r="Z34" s="12"/>
      <c r="AA34" s="12"/>
      <c r="AB34" s="12"/>
      <c r="AC34" s="12"/>
      <c r="AD34" s="12"/>
      <c r="AE34" s="12"/>
      <c r="AF34" s="12"/>
      <c r="AG34" s="12"/>
      <c r="AH34" s="12"/>
    </row>
    <row r="35" spans="1:34" ht="22.5">
      <c r="A35" s="55"/>
      <c r="B35" s="54" t="str">
        <f ca="1">B29</f>
        <v>Tungsten  (*)</v>
      </c>
      <c r="C35" s="13"/>
      <c r="D35" s="342" t="s">
        <v>905</v>
      </c>
      <c r="E35" s="343"/>
      <c r="F35" s="61"/>
      <c r="G35" s="339"/>
      <c r="H35" s="340"/>
      <c r="I35" s="340"/>
      <c r="J35" s="341"/>
      <c r="K35" s="50"/>
      <c r="L35" s="154"/>
      <c r="M35" s="142"/>
      <c r="N35" s="142"/>
      <c r="O35" s="143"/>
      <c r="Q35" s="12"/>
      <c r="R35" s="12"/>
      <c r="S35" s="12"/>
      <c r="T35" s="12"/>
      <c r="U35" s="12"/>
      <c r="V35" s="12"/>
      <c r="W35" s="12"/>
      <c r="X35" s="12"/>
      <c r="Y35" s="12"/>
      <c r="Z35" s="12"/>
      <c r="AA35" s="12"/>
      <c r="AB35" s="12"/>
      <c r="AC35" s="12"/>
      <c r="AD35" s="12"/>
      <c r="AE35" s="12"/>
      <c r="AF35" s="12"/>
      <c r="AG35" s="12"/>
      <c r="AH35" s="12"/>
    </row>
    <row r="36" spans="1:34" ht="18">
      <c r="A36" s="55"/>
      <c r="B36" s="27"/>
      <c r="C36" s="13"/>
      <c r="D36" s="27"/>
      <c r="E36" s="27"/>
      <c r="F36" s="104"/>
      <c r="G36" s="27"/>
      <c r="H36" s="168"/>
      <c r="I36" s="168"/>
      <c r="J36" s="168"/>
      <c r="K36" s="50"/>
      <c r="L36" s="148"/>
      <c r="M36" s="142"/>
      <c r="N36" s="142"/>
      <c r="O36" s="143"/>
      <c r="P36" s="12"/>
      <c r="Q36" s="12"/>
      <c r="R36" s="12"/>
      <c r="S36" s="12"/>
      <c r="T36" s="12"/>
      <c r="U36" s="12"/>
      <c r="V36" s="12"/>
      <c r="W36" s="12"/>
      <c r="X36" s="12"/>
      <c r="Y36" s="12"/>
      <c r="Z36" s="12"/>
      <c r="AA36" s="12"/>
      <c r="AB36" s="12"/>
      <c r="AC36" s="12"/>
      <c r="AD36" s="12"/>
      <c r="AE36" s="12"/>
      <c r="AF36" s="12"/>
      <c r="AG36" s="12"/>
      <c r="AH36" s="12"/>
    </row>
    <row r="37" spans="1:34" ht="43.5" customHeight="1">
      <c r="A37" s="55"/>
      <c r="B37" s="58" t="str">
        <f ca="1">OFFSET(L!$C$1,MATCH("Declaration"&amp;ADDRESS(ROW(),COLUMN(),4),L!$A:$A,0)-1,SL,,)&amp;Q$37</f>
        <v>3) Do any of the smelters in your supply chain source the 3TG from the covered countries? (SEC term, see definitions tab) (*)</v>
      </c>
      <c r="C37" s="13"/>
      <c r="D37" s="385" t="str">
        <f ca="1">D25</f>
        <v>Answer</v>
      </c>
      <c r="E37" s="385"/>
      <c r="F37" s="21"/>
      <c r="G37" s="58" t="str">
        <f ca="1">G25</f>
        <v>Comments</v>
      </c>
      <c r="H37" s="348"/>
      <c r="I37" s="348"/>
      <c r="J37" s="348"/>
      <c r="K37" s="50"/>
      <c r="L37" s="148" t="s">
        <v>2437</v>
      </c>
      <c r="M37" s="142"/>
      <c r="N37" s="142"/>
      <c r="O37" s="143"/>
      <c r="P37" s="59">
        <f ca="1">COUNTIF(D$25:D$35,"No")</f>
        <v>2</v>
      </c>
      <c r="Q37" s="59" t="str">
        <f ca="1">IF(P37=8,""," (*)")</f>
        <v xml:space="preserve"> (*)</v>
      </c>
      <c r="R37" s="12"/>
      <c r="S37" s="12"/>
      <c r="T37" s="12"/>
      <c r="U37" s="12"/>
      <c r="V37" s="12"/>
      <c r="W37" s="12"/>
      <c r="X37" s="12"/>
      <c r="Y37" s="12"/>
      <c r="Z37" s="12"/>
      <c r="AA37" s="12"/>
      <c r="AB37" s="12"/>
      <c r="AC37" s="12"/>
      <c r="AD37" s="12"/>
      <c r="AE37" s="12"/>
      <c r="AF37" s="12"/>
      <c r="AG37" s="12"/>
      <c r="AH37" s="12"/>
    </row>
    <row r="38" spans="1:34" ht="22.5">
      <c r="A38" s="55"/>
      <c r="B38" s="54" t="str">
        <f ca="1">OFFSET(L!$C$1,MATCH("Declaration"&amp;ADDRESS(ROW(),COLUMN(),4),L!$A:$A,0)-1,SL,,)&amp;P38</f>
        <v>Tantalum  (*)</v>
      </c>
      <c r="C38" s="13"/>
      <c r="D38" s="342" t="s">
        <v>905</v>
      </c>
      <c r="E38" s="343"/>
      <c r="F38" s="61"/>
      <c r="G38" s="339"/>
      <c r="H38" s="340"/>
      <c r="I38" s="340"/>
      <c r="J38" s="341"/>
      <c r="K38" s="50"/>
      <c r="L38" s="154"/>
      <c r="M38" s="144"/>
      <c r="N38" s="142"/>
      <c r="O38" s="143"/>
      <c r="P38" s="156" t="str">
        <f>IF(AND(D26="No",D32="No"),"","(*)")</f>
        <v>(*)</v>
      </c>
      <c r="Q38" s="12"/>
      <c r="R38" s="12"/>
      <c r="S38" s="12"/>
      <c r="T38" s="12"/>
      <c r="U38" s="12"/>
      <c r="V38" s="12"/>
      <c r="W38" s="12"/>
      <c r="X38" s="12"/>
      <c r="Y38" s="12"/>
      <c r="Z38" s="12"/>
      <c r="AA38" s="12"/>
      <c r="AB38" s="12"/>
      <c r="AC38" s="12"/>
      <c r="AD38" s="12"/>
      <c r="AE38" s="12"/>
      <c r="AF38" s="12"/>
      <c r="AG38" s="12"/>
      <c r="AH38" s="12"/>
    </row>
    <row r="39" spans="1:34" ht="22.5">
      <c r="A39" s="55"/>
      <c r="B39" s="54" t="str">
        <f ca="1">OFFSET(L!$C$1,MATCH("Declaration"&amp;ADDRESS(ROW(),COLUMN(),4),L!$A:$A,0)-1,SL,,)&amp;P39</f>
        <v>Tin  (*)</v>
      </c>
      <c r="C39" s="13"/>
      <c r="D39" s="342" t="s">
        <v>905</v>
      </c>
      <c r="E39" s="343"/>
      <c r="F39" s="61"/>
      <c r="G39" s="339"/>
      <c r="H39" s="340"/>
      <c r="I39" s="340"/>
      <c r="J39" s="341"/>
      <c r="K39" s="50"/>
      <c r="L39" s="154"/>
      <c r="M39" s="142"/>
      <c r="N39" s="142"/>
      <c r="O39" s="143"/>
      <c r="P39" s="156" t="str">
        <f>IF(AND(D27="No",D33="No"),"","(*)")</f>
        <v>(*)</v>
      </c>
      <c r="Q39" s="12"/>
      <c r="R39" s="12"/>
      <c r="S39" s="12"/>
      <c r="T39" s="12"/>
      <c r="U39" s="12"/>
      <c r="V39" s="12"/>
      <c r="W39" s="12"/>
      <c r="X39" s="12"/>
      <c r="Y39" s="12"/>
      <c r="Z39" s="12"/>
      <c r="AA39" s="12"/>
      <c r="AB39" s="12"/>
      <c r="AC39" s="12"/>
      <c r="AD39" s="12"/>
      <c r="AE39" s="12"/>
      <c r="AF39" s="12"/>
      <c r="AG39" s="12"/>
      <c r="AH39" s="12"/>
    </row>
    <row r="40" spans="1:34" ht="22.5">
      <c r="A40" s="55"/>
      <c r="B40" s="54" t="str">
        <f ca="1">OFFSET(L!$C$1,MATCH("Declaration"&amp;ADDRESS(ROW(),COLUMN(),4),L!$A:$A,0)-1,SL,,)&amp;P40</f>
        <v>Gold  (*)</v>
      </c>
      <c r="C40" s="13"/>
      <c r="D40" s="342" t="s">
        <v>905</v>
      </c>
      <c r="E40" s="343"/>
      <c r="F40" s="61"/>
      <c r="G40" s="339"/>
      <c r="H40" s="340"/>
      <c r="I40" s="340"/>
      <c r="J40" s="341"/>
      <c r="K40" s="50"/>
      <c r="L40" s="154"/>
      <c r="M40" s="142"/>
      <c r="N40" s="142"/>
      <c r="O40" s="143"/>
      <c r="P40" s="156" t="str">
        <f>IF(AND(D28="No",D34="No"),"","(*)")</f>
        <v>(*)</v>
      </c>
      <c r="Q40" s="12"/>
      <c r="R40" s="12"/>
      <c r="S40" s="12"/>
      <c r="T40" s="12"/>
      <c r="U40" s="12"/>
      <c r="V40" s="12"/>
      <c r="W40" s="12"/>
      <c r="X40" s="12"/>
      <c r="Y40" s="12"/>
      <c r="Z40" s="12"/>
      <c r="AA40" s="12"/>
      <c r="AB40" s="12"/>
      <c r="AC40" s="12"/>
      <c r="AD40" s="12"/>
      <c r="AE40" s="12"/>
      <c r="AF40" s="12"/>
      <c r="AG40" s="12"/>
      <c r="AH40" s="12"/>
    </row>
    <row r="41" spans="1:34" ht="22.5">
      <c r="A41" s="55"/>
      <c r="B41" s="54" t="str">
        <f ca="1">OFFSET(L!$C$1,MATCH("Declaration"&amp;ADDRESS(ROW(),COLUMN(),4),L!$A:$A,0)-1,SL,,)&amp;P41</f>
        <v xml:space="preserve">Tungsten  </v>
      </c>
      <c r="C41" s="13"/>
      <c r="D41" s="342"/>
      <c r="E41" s="343"/>
      <c r="F41" s="61"/>
      <c r="G41" s="339"/>
      <c r="H41" s="340"/>
      <c r="I41" s="340"/>
      <c r="J41" s="341"/>
      <c r="K41" s="50"/>
      <c r="L41" s="154"/>
      <c r="M41" s="142"/>
      <c r="N41" s="142"/>
      <c r="O41" s="143"/>
      <c r="P41" s="156" t="str">
        <f>IF(AND(D29="No",D35="No"),"","(*)")</f>
        <v/>
      </c>
      <c r="Q41" s="12"/>
      <c r="R41" s="12"/>
      <c r="S41" s="12"/>
      <c r="T41" s="12"/>
      <c r="U41" s="12"/>
      <c r="V41" s="12"/>
      <c r="W41" s="12"/>
      <c r="X41" s="12"/>
      <c r="Y41" s="12"/>
      <c r="Z41" s="12"/>
      <c r="AA41" s="12"/>
      <c r="AB41" s="12"/>
      <c r="AC41" s="12"/>
      <c r="AD41" s="12"/>
      <c r="AE41" s="12"/>
      <c r="AF41" s="12"/>
      <c r="AG41" s="12"/>
      <c r="AH41" s="12"/>
    </row>
    <row r="42" spans="1:34" ht="18">
      <c r="A42" s="55"/>
      <c r="B42" s="27"/>
      <c r="C42" s="13"/>
      <c r="D42" s="27"/>
      <c r="E42" s="27"/>
      <c r="F42" s="104"/>
      <c r="G42" s="27"/>
      <c r="H42" s="168"/>
      <c r="I42" s="168"/>
      <c r="J42" s="168"/>
      <c r="K42" s="50"/>
      <c r="L42" s="148"/>
      <c r="M42" s="142"/>
      <c r="N42" s="142"/>
      <c r="O42" s="143"/>
      <c r="Q42" s="12"/>
      <c r="R42" s="12"/>
      <c r="S42" s="12"/>
      <c r="T42" s="12"/>
      <c r="U42" s="12"/>
      <c r="V42" s="12"/>
      <c r="W42" s="12"/>
      <c r="X42" s="12"/>
      <c r="Y42" s="12"/>
      <c r="Z42" s="12"/>
      <c r="AA42" s="12"/>
      <c r="AB42" s="12"/>
      <c r="AC42" s="12"/>
      <c r="AD42" s="12"/>
      <c r="AE42" s="12"/>
      <c r="AF42" s="12"/>
      <c r="AG42" s="12"/>
      <c r="AH42" s="12"/>
    </row>
    <row r="43" spans="1:34" ht="48.6" customHeight="1">
      <c r="A43" s="55"/>
      <c r="B43" s="58" t="str">
        <f ca="1">OFFSET(L!$C$1,MATCH("Declaration"&amp;ADDRESS(ROW(),COLUMN(),4),L!$A:$A,0)-1,SL,,)&amp;Q$37</f>
        <v>4) Does 100 percent of the 3TG (necessary to the functionality or production of your products) originate from recycled or scrap sources?  (*)</v>
      </c>
      <c r="C43" s="13"/>
      <c r="D43" s="385" t="str">
        <f ca="1">D25</f>
        <v>Answer</v>
      </c>
      <c r="E43" s="385"/>
      <c r="F43" s="21"/>
      <c r="G43" s="58" t="str">
        <f ca="1">G25</f>
        <v>Comments</v>
      </c>
      <c r="H43" s="58"/>
      <c r="I43" s="58"/>
      <c r="J43" s="103"/>
      <c r="K43" s="50"/>
      <c r="L43" s="148" t="s">
        <v>2436</v>
      </c>
      <c r="M43" s="142"/>
      <c r="N43" s="142"/>
      <c r="O43" s="143"/>
      <c r="P43" s="12"/>
      <c r="Q43" s="12"/>
      <c r="R43" s="12"/>
      <c r="S43" s="12"/>
      <c r="T43" s="12"/>
      <c r="U43" s="12"/>
      <c r="V43" s="12"/>
      <c r="W43" s="12"/>
      <c r="X43" s="12"/>
      <c r="Y43" s="12"/>
      <c r="Z43" s="12"/>
      <c r="AA43" s="12"/>
      <c r="AB43" s="12"/>
      <c r="AC43" s="12"/>
      <c r="AD43" s="12"/>
      <c r="AE43" s="12"/>
      <c r="AF43" s="12"/>
      <c r="AG43" s="12"/>
      <c r="AH43" s="12"/>
    </row>
    <row r="44" spans="1:34" ht="22.5">
      <c r="A44" s="55"/>
      <c r="B44" s="54" t="str">
        <f ca="1">B38</f>
        <v>Tantalum  (*)</v>
      </c>
      <c r="C44" s="13"/>
      <c r="D44" s="342" t="s">
        <v>906</v>
      </c>
      <c r="E44" s="343"/>
      <c r="F44" s="61"/>
      <c r="G44" s="339"/>
      <c r="H44" s="340"/>
      <c r="I44" s="340"/>
      <c r="J44" s="341"/>
      <c r="K44" s="50"/>
      <c r="L44" s="154"/>
      <c r="M44" s="144"/>
      <c r="N44" s="142"/>
      <c r="O44" s="143"/>
      <c r="P44" s="12"/>
      <c r="Q44" s="12"/>
      <c r="R44" s="12"/>
      <c r="S44" s="12"/>
      <c r="T44" s="12"/>
      <c r="U44" s="12"/>
      <c r="V44" s="12"/>
      <c r="W44" s="12"/>
      <c r="X44" s="12"/>
      <c r="Y44" s="12"/>
      <c r="Z44" s="12"/>
      <c r="AA44" s="12"/>
      <c r="AB44" s="12"/>
      <c r="AC44" s="12"/>
      <c r="AD44" s="12"/>
      <c r="AE44" s="12"/>
      <c r="AF44" s="12"/>
      <c r="AG44" s="12"/>
      <c r="AH44" s="12"/>
    </row>
    <row r="45" spans="1:34" ht="22.5">
      <c r="A45" s="55"/>
      <c r="B45" s="54" t="str">
        <f ca="1">B39</f>
        <v>Tin  (*)</v>
      </c>
      <c r="C45" s="13"/>
      <c r="D45" s="342" t="s">
        <v>906</v>
      </c>
      <c r="E45" s="343"/>
      <c r="F45" s="61"/>
      <c r="G45" s="339"/>
      <c r="H45" s="340"/>
      <c r="I45" s="340"/>
      <c r="J45" s="341"/>
      <c r="K45" s="50"/>
      <c r="L45" s="154"/>
      <c r="M45" s="142"/>
      <c r="N45" s="142"/>
      <c r="O45" s="143"/>
      <c r="P45" s="12"/>
      <c r="Q45" s="12"/>
      <c r="R45" s="12"/>
      <c r="S45" s="12"/>
      <c r="T45" s="12"/>
      <c r="U45" s="12"/>
      <c r="V45" s="12"/>
      <c r="W45" s="12"/>
      <c r="X45" s="12"/>
      <c r="Y45" s="12"/>
      <c r="Z45" s="12"/>
      <c r="AA45" s="12"/>
      <c r="AB45" s="12"/>
      <c r="AC45" s="12"/>
      <c r="AD45" s="12"/>
      <c r="AE45" s="12"/>
      <c r="AF45" s="12"/>
      <c r="AG45" s="12"/>
      <c r="AH45" s="12"/>
    </row>
    <row r="46" spans="1:34" ht="22.5">
      <c r="A46" s="55"/>
      <c r="B46" s="54" t="str">
        <f ca="1">B40</f>
        <v>Gold  (*)</v>
      </c>
      <c r="C46" s="13"/>
      <c r="D46" s="342" t="s">
        <v>906</v>
      </c>
      <c r="E46" s="343"/>
      <c r="F46" s="61"/>
      <c r="G46" s="339"/>
      <c r="H46" s="340"/>
      <c r="I46" s="340"/>
      <c r="J46" s="341"/>
      <c r="K46" s="50"/>
      <c r="L46" s="154"/>
      <c r="M46" s="142"/>
      <c r="N46" s="142"/>
      <c r="O46" s="143"/>
      <c r="P46" s="12"/>
      <c r="Q46" s="12"/>
      <c r="R46" s="12"/>
      <c r="S46" s="12"/>
      <c r="T46" s="12"/>
      <c r="U46" s="12"/>
      <c r="V46" s="12"/>
      <c r="W46" s="12"/>
      <c r="X46" s="12"/>
      <c r="Y46" s="12"/>
      <c r="Z46" s="12"/>
      <c r="AA46" s="12"/>
      <c r="AB46" s="12"/>
      <c r="AC46" s="12"/>
      <c r="AD46" s="12"/>
      <c r="AE46" s="12"/>
      <c r="AF46" s="12"/>
      <c r="AG46" s="12"/>
      <c r="AH46" s="12"/>
    </row>
    <row r="47" spans="1:34" ht="22.5">
      <c r="A47" s="55"/>
      <c r="B47" s="54" t="str">
        <f ca="1">B41</f>
        <v xml:space="preserve">Tungsten  </v>
      </c>
      <c r="C47" s="13"/>
      <c r="D47" s="342"/>
      <c r="E47" s="343"/>
      <c r="F47" s="61"/>
      <c r="G47" s="339"/>
      <c r="H47" s="340"/>
      <c r="I47" s="340"/>
      <c r="J47" s="341"/>
      <c r="K47" s="50"/>
      <c r="L47" s="154"/>
      <c r="M47" s="142"/>
      <c r="N47" s="142"/>
      <c r="O47" s="143"/>
      <c r="P47" s="12"/>
      <c r="Q47" s="12"/>
      <c r="R47" s="12"/>
      <c r="S47" s="12"/>
      <c r="T47" s="12"/>
      <c r="U47" s="12"/>
      <c r="V47" s="12"/>
      <c r="W47" s="12"/>
      <c r="X47" s="12"/>
      <c r="Y47" s="12"/>
      <c r="Z47" s="12"/>
      <c r="AA47" s="12"/>
      <c r="AB47" s="12"/>
      <c r="AC47" s="12"/>
      <c r="AD47" s="12"/>
      <c r="AE47" s="12"/>
      <c r="AF47" s="12"/>
      <c r="AG47" s="12"/>
      <c r="AH47" s="12"/>
    </row>
    <row r="48" spans="1:34" ht="18">
      <c r="A48" s="55"/>
      <c r="B48" s="27"/>
      <c r="C48" s="13"/>
      <c r="D48" s="27"/>
      <c r="E48" s="27"/>
      <c r="F48" s="104"/>
      <c r="G48" s="27"/>
      <c r="H48" s="168"/>
      <c r="I48" s="168"/>
      <c r="J48" s="168"/>
      <c r="K48" s="50"/>
      <c r="L48" s="148"/>
      <c r="M48" s="142"/>
      <c r="N48" s="142"/>
      <c r="O48" s="143"/>
      <c r="P48" s="12"/>
      <c r="Q48" s="12"/>
      <c r="R48" s="12"/>
      <c r="S48" s="12"/>
      <c r="T48" s="12"/>
      <c r="U48" s="12"/>
      <c r="V48" s="12"/>
      <c r="W48" s="12"/>
      <c r="X48" s="12"/>
      <c r="Y48" s="12"/>
      <c r="Z48" s="12"/>
      <c r="AA48" s="12"/>
      <c r="AB48" s="12"/>
      <c r="AC48" s="12"/>
      <c r="AD48" s="12"/>
      <c r="AE48" s="12"/>
      <c r="AF48" s="12"/>
      <c r="AG48" s="12"/>
      <c r="AH48" s="12"/>
    </row>
    <row r="49" spans="1:34" ht="53.45" customHeight="1">
      <c r="A49" s="55"/>
      <c r="B49" s="178" t="str">
        <f ca="1">OFFSET(L!$C$1,MATCH("Declaration"&amp;ADDRESS(ROW(),COLUMN(),4),L!$A:$A,0)-1,SL,,)&amp;Q$37</f>
        <v>5) Have you received data/information for each 3TG from all relevant suppliers? (*)</v>
      </c>
      <c r="C49" s="13"/>
      <c r="D49" s="385" t="str">
        <f ca="1">D25</f>
        <v>Answer</v>
      </c>
      <c r="E49" s="385"/>
      <c r="F49" s="21"/>
      <c r="G49" s="58" t="str">
        <f ca="1">G25</f>
        <v>Comments</v>
      </c>
      <c r="H49" s="169"/>
      <c r="I49" s="169"/>
      <c r="J49" s="169"/>
      <c r="K49" s="50"/>
      <c r="L49" s="148" t="s">
        <v>2437</v>
      </c>
      <c r="M49" s="142"/>
      <c r="N49" s="142"/>
      <c r="O49" s="143"/>
      <c r="P49" s="12"/>
      <c r="Q49" s="12"/>
      <c r="R49" s="12"/>
      <c r="S49" s="12"/>
      <c r="T49" s="12"/>
      <c r="U49" s="12"/>
      <c r="V49" s="12"/>
      <c r="W49" s="12"/>
      <c r="X49" s="12"/>
      <c r="Y49" s="12"/>
      <c r="Z49" s="12"/>
      <c r="AA49" s="12"/>
      <c r="AB49" s="12"/>
      <c r="AC49" s="12"/>
      <c r="AD49" s="12"/>
      <c r="AE49" s="12"/>
      <c r="AF49" s="12"/>
      <c r="AG49" s="12"/>
      <c r="AH49" s="12"/>
    </row>
    <row r="50" spans="1:34" ht="22.5">
      <c r="A50" s="55"/>
      <c r="B50" s="54" t="str">
        <f ca="1">B38</f>
        <v>Tantalum  (*)</v>
      </c>
      <c r="C50" s="49"/>
      <c r="D50" s="342" t="s">
        <v>907</v>
      </c>
      <c r="E50" s="343"/>
      <c r="F50" s="61"/>
      <c r="G50" s="339"/>
      <c r="H50" s="340"/>
      <c r="I50" s="340"/>
      <c r="J50" s="341"/>
      <c r="K50" s="50"/>
      <c r="L50" s="154"/>
      <c r="M50" s="144"/>
      <c r="N50" s="142"/>
      <c r="O50" s="143"/>
      <c r="P50" s="12"/>
      <c r="Q50" s="12"/>
      <c r="R50" s="12"/>
      <c r="S50" s="12"/>
      <c r="T50" s="12"/>
      <c r="U50" s="12"/>
      <c r="V50" s="12"/>
      <c r="W50" s="12"/>
      <c r="X50" s="12"/>
      <c r="Y50" s="12"/>
      <c r="Z50" s="12"/>
      <c r="AA50" s="12"/>
      <c r="AB50" s="12"/>
      <c r="AC50" s="12"/>
      <c r="AD50" s="12"/>
      <c r="AE50" s="12"/>
      <c r="AF50" s="12"/>
      <c r="AG50" s="12"/>
      <c r="AH50" s="12"/>
    </row>
    <row r="51" spans="1:34" ht="22.5">
      <c r="A51" s="55"/>
      <c r="B51" s="54" t="str">
        <f ca="1">B39</f>
        <v>Tin  (*)</v>
      </c>
      <c r="C51" s="49"/>
      <c r="D51" s="342" t="s">
        <v>907</v>
      </c>
      <c r="E51" s="343"/>
      <c r="F51" s="61"/>
      <c r="G51" s="339"/>
      <c r="H51" s="340"/>
      <c r="I51" s="340"/>
      <c r="J51" s="341"/>
      <c r="K51" s="50"/>
      <c r="L51" s="154"/>
      <c r="M51" s="142"/>
      <c r="N51" s="142"/>
      <c r="O51" s="143"/>
      <c r="P51" s="12"/>
      <c r="Q51" s="12"/>
      <c r="R51" s="12"/>
      <c r="S51" s="12"/>
      <c r="T51" s="12"/>
      <c r="U51" s="12"/>
      <c r="V51" s="12"/>
      <c r="W51" s="12"/>
      <c r="X51" s="12"/>
      <c r="Y51" s="12"/>
      <c r="Z51" s="12"/>
      <c r="AA51" s="12"/>
      <c r="AB51" s="12"/>
      <c r="AC51" s="12"/>
      <c r="AD51" s="12"/>
      <c r="AE51" s="12"/>
      <c r="AF51" s="12"/>
      <c r="AG51" s="12"/>
      <c r="AH51" s="12"/>
    </row>
    <row r="52" spans="1:34" ht="22.5">
      <c r="A52" s="55"/>
      <c r="B52" s="54" t="str">
        <f ca="1">B40</f>
        <v>Gold  (*)</v>
      </c>
      <c r="C52" s="49"/>
      <c r="D52" s="342" t="s">
        <v>907</v>
      </c>
      <c r="E52" s="343"/>
      <c r="F52" s="61"/>
      <c r="G52" s="339"/>
      <c r="H52" s="340"/>
      <c r="I52" s="340"/>
      <c r="J52" s="341"/>
      <c r="K52" s="50"/>
      <c r="L52" s="154"/>
      <c r="M52" s="142"/>
      <c r="N52" s="142"/>
      <c r="O52" s="143"/>
      <c r="P52" s="12"/>
      <c r="Q52" s="12"/>
      <c r="R52" s="12"/>
      <c r="S52" s="12"/>
      <c r="T52" s="12"/>
      <c r="U52" s="12"/>
      <c r="V52" s="12"/>
      <c r="W52" s="12"/>
      <c r="X52" s="12"/>
      <c r="Y52" s="12"/>
      <c r="Z52" s="12"/>
      <c r="AA52" s="12"/>
      <c r="AB52" s="12"/>
      <c r="AC52" s="12"/>
      <c r="AD52" s="12"/>
      <c r="AE52" s="12"/>
      <c r="AF52" s="12"/>
      <c r="AG52" s="12"/>
      <c r="AH52" s="12"/>
    </row>
    <row r="53" spans="1:34" ht="22.5">
      <c r="A53" s="55"/>
      <c r="B53" s="54" t="str">
        <f ca="1">B41</f>
        <v xml:space="preserve">Tungsten  </v>
      </c>
      <c r="C53" s="49"/>
      <c r="D53" s="342"/>
      <c r="E53" s="343"/>
      <c r="F53" s="61"/>
      <c r="G53" s="339"/>
      <c r="H53" s="340"/>
      <c r="I53" s="340"/>
      <c r="J53" s="341"/>
      <c r="K53" s="50"/>
      <c r="L53" s="154"/>
      <c r="M53" s="142"/>
      <c r="N53" s="142"/>
      <c r="O53" s="143"/>
      <c r="P53" s="12"/>
      <c r="Q53" s="12"/>
      <c r="R53" s="12"/>
      <c r="S53" s="12"/>
      <c r="T53" s="12"/>
      <c r="U53" s="12"/>
      <c r="V53" s="12"/>
      <c r="W53" s="12"/>
      <c r="X53" s="12"/>
      <c r="Y53" s="12"/>
      <c r="Z53" s="12"/>
      <c r="AA53" s="12"/>
      <c r="AB53" s="12"/>
      <c r="AC53" s="12"/>
      <c r="AD53" s="12"/>
      <c r="AE53" s="12"/>
      <c r="AF53" s="12"/>
      <c r="AG53" s="12"/>
      <c r="AH53" s="12"/>
    </row>
    <row r="54" spans="1:34" ht="15.75">
      <c r="A54" s="55"/>
      <c r="B54" s="60"/>
      <c r="C54" s="13"/>
      <c r="D54" s="105"/>
      <c r="E54" s="105"/>
      <c r="F54" s="104"/>
      <c r="G54" s="106"/>
      <c r="H54" s="106"/>
      <c r="I54" s="106"/>
      <c r="J54" s="106"/>
      <c r="K54" s="50"/>
      <c r="L54" s="148"/>
      <c r="M54" s="149"/>
      <c r="N54" s="142"/>
      <c r="O54" s="143"/>
      <c r="P54" s="12"/>
      <c r="Q54" s="12"/>
      <c r="R54" s="12"/>
      <c r="S54" s="12"/>
      <c r="T54" s="12"/>
      <c r="U54" s="12"/>
      <c r="V54" s="12"/>
      <c r="W54" s="12"/>
      <c r="X54" s="12"/>
      <c r="Y54" s="12"/>
      <c r="Z54" s="12"/>
      <c r="AA54" s="12"/>
      <c r="AB54" s="12"/>
      <c r="AC54" s="12"/>
      <c r="AD54" s="12"/>
      <c r="AE54" s="12"/>
      <c r="AF54" s="12"/>
      <c r="AG54" s="12"/>
      <c r="AH54" s="12"/>
    </row>
    <row r="55" spans="1:34" ht="45.75">
      <c r="A55" s="55"/>
      <c r="B55" s="178" t="str">
        <f ca="1">OFFSET(L!$C$1,MATCH("Declaration"&amp;ADDRESS(ROW(),COLUMN(),4),L!$A:$A,0)-1,SL,,)&amp;Q$37</f>
        <v>6) Have you identified all of the smelters supplying the 3TG to your supply chain?  (*)</v>
      </c>
      <c r="C55" s="13"/>
      <c r="D55" s="385" t="str">
        <f ca="1">D25</f>
        <v>Answer</v>
      </c>
      <c r="E55" s="385"/>
      <c r="F55" s="21"/>
      <c r="G55" s="58" t="str">
        <f ca="1">G25</f>
        <v>Comments</v>
      </c>
      <c r="H55" s="344"/>
      <c r="I55" s="344"/>
      <c r="J55" s="344"/>
      <c r="K55" s="50"/>
      <c r="L55" s="148" t="s">
        <v>2435</v>
      </c>
      <c r="M55" s="149"/>
      <c r="N55" s="142"/>
      <c r="O55" s="143"/>
      <c r="P55" s="12"/>
      <c r="Q55" s="12"/>
      <c r="R55" s="12"/>
      <c r="S55" s="12"/>
      <c r="T55" s="12"/>
      <c r="U55" s="12"/>
      <c r="V55" s="12"/>
      <c r="W55" s="12"/>
      <c r="X55" s="12"/>
      <c r="Y55" s="12"/>
      <c r="Z55" s="12"/>
      <c r="AA55" s="12"/>
      <c r="AB55" s="12"/>
      <c r="AC55" s="12"/>
      <c r="AD55" s="12"/>
      <c r="AE55" s="12"/>
      <c r="AF55" s="12"/>
      <c r="AG55" s="12"/>
      <c r="AH55" s="12"/>
    </row>
    <row r="56" spans="1:34" ht="22.5">
      <c r="A56" s="55"/>
      <c r="B56" s="54" t="str">
        <f ca="1">B38</f>
        <v>Tantalum  (*)</v>
      </c>
      <c r="C56" s="13"/>
      <c r="D56" s="342" t="s">
        <v>905</v>
      </c>
      <c r="E56" s="343"/>
      <c r="F56" s="61"/>
      <c r="G56" s="339"/>
      <c r="H56" s="340"/>
      <c r="I56" s="340"/>
      <c r="J56" s="341"/>
      <c r="K56" s="50"/>
      <c r="L56" s="154"/>
      <c r="M56" s="144"/>
      <c r="N56" s="142"/>
      <c r="O56" s="143"/>
      <c r="P56" s="12"/>
      <c r="Q56" s="12"/>
      <c r="R56" s="12"/>
      <c r="S56" s="12"/>
      <c r="T56" s="12"/>
      <c r="U56" s="12"/>
      <c r="V56" s="12"/>
      <c r="W56" s="12"/>
      <c r="X56" s="12"/>
      <c r="Y56" s="12"/>
      <c r="Z56" s="12"/>
      <c r="AA56" s="12"/>
      <c r="AB56" s="12"/>
      <c r="AC56" s="12"/>
      <c r="AD56" s="12"/>
      <c r="AE56" s="12"/>
      <c r="AF56" s="12"/>
      <c r="AG56" s="12"/>
      <c r="AH56" s="12"/>
    </row>
    <row r="57" spans="1:34" ht="22.5">
      <c r="A57" s="55"/>
      <c r="B57" s="54" t="str">
        <f ca="1">B39</f>
        <v>Tin  (*)</v>
      </c>
      <c r="C57" s="13"/>
      <c r="D57" s="342" t="s">
        <v>905</v>
      </c>
      <c r="E57" s="343"/>
      <c r="F57" s="61"/>
      <c r="G57" s="339"/>
      <c r="H57" s="340"/>
      <c r="I57" s="340"/>
      <c r="J57" s="341"/>
      <c r="K57" s="50"/>
      <c r="L57" s="154"/>
      <c r="M57" s="142"/>
      <c r="N57" s="142"/>
      <c r="O57" s="143"/>
      <c r="P57" s="12"/>
      <c r="Q57" s="12"/>
      <c r="R57" s="12"/>
      <c r="S57" s="12"/>
      <c r="T57" s="12"/>
      <c r="U57" s="12"/>
      <c r="V57" s="12"/>
      <c r="W57" s="12"/>
      <c r="X57" s="12"/>
      <c r="Y57" s="12"/>
      <c r="Z57" s="12"/>
      <c r="AA57" s="12"/>
      <c r="AB57" s="12"/>
      <c r="AC57" s="12"/>
      <c r="AD57" s="12"/>
      <c r="AE57" s="12"/>
      <c r="AF57" s="12"/>
      <c r="AG57" s="12"/>
      <c r="AH57" s="12"/>
    </row>
    <row r="58" spans="1:34" ht="22.5">
      <c r="A58" s="55"/>
      <c r="B58" s="54" t="str">
        <f ca="1">B40</f>
        <v>Gold  (*)</v>
      </c>
      <c r="C58" s="13"/>
      <c r="D58" s="342" t="s">
        <v>905</v>
      </c>
      <c r="E58" s="343"/>
      <c r="F58" s="61"/>
      <c r="G58" s="339"/>
      <c r="H58" s="340"/>
      <c r="I58" s="340"/>
      <c r="J58" s="341"/>
      <c r="K58" s="50"/>
      <c r="L58" s="154"/>
      <c r="M58" s="142"/>
      <c r="N58" s="142"/>
      <c r="O58" s="143"/>
      <c r="P58" s="12"/>
      <c r="Q58" s="12"/>
      <c r="R58" s="12"/>
      <c r="S58" s="12"/>
      <c r="T58" s="12"/>
      <c r="U58" s="12"/>
      <c r="V58" s="12"/>
      <c r="W58" s="12"/>
      <c r="X58" s="12"/>
      <c r="Y58" s="12"/>
      <c r="Z58" s="12"/>
      <c r="AA58" s="12"/>
      <c r="AB58" s="12"/>
      <c r="AC58" s="12"/>
      <c r="AD58" s="12"/>
      <c r="AE58" s="12"/>
      <c r="AF58" s="12"/>
      <c r="AG58" s="12"/>
      <c r="AH58" s="12"/>
    </row>
    <row r="59" spans="1:34" ht="22.5">
      <c r="A59" s="55"/>
      <c r="B59" s="54" t="str">
        <f ca="1">B41</f>
        <v xml:space="preserve">Tungsten  </v>
      </c>
      <c r="C59" s="13"/>
      <c r="D59" s="342"/>
      <c r="E59" s="343"/>
      <c r="F59" s="61"/>
      <c r="G59" s="339"/>
      <c r="H59" s="340"/>
      <c r="I59" s="340"/>
      <c r="J59" s="341"/>
      <c r="K59" s="50"/>
      <c r="L59" s="154"/>
      <c r="M59" s="142"/>
      <c r="N59" s="142"/>
      <c r="O59" s="143"/>
      <c r="P59" s="12"/>
      <c r="Q59" s="12"/>
      <c r="R59" s="12"/>
      <c r="S59" s="12"/>
      <c r="T59" s="12"/>
      <c r="U59" s="12"/>
      <c r="V59" s="12"/>
      <c r="W59" s="12"/>
      <c r="X59" s="12"/>
      <c r="Y59" s="12"/>
      <c r="Z59" s="12"/>
      <c r="AA59" s="12"/>
      <c r="AB59" s="12"/>
      <c r="AC59" s="12"/>
      <c r="AD59" s="12"/>
      <c r="AE59" s="12"/>
      <c r="AF59" s="12"/>
      <c r="AG59" s="12"/>
      <c r="AH59" s="12"/>
    </row>
    <row r="60" spans="1:34" ht="15.75">
      <c r="A60" s="55"/>
      <c r="B60" s="27"/>
      <c r="C60" s="13"/>
      <c r="D60" s="107"/>
      <c r="E60" s="107"/>
      <c r="F60" s="104"/>
      <c r="G60" s="108"/>
      <c r="H60" s="108"/>
      <c r="I60" s="108"/>
      <c r="J60" s="108"/>
      <c r="K60" s="50"/>
      <c r="L60" s="148"/>
      <c r="M60" s="149"/>
      <c r="N60" s="142"/>
      <c r="O60" s="143"/>
      <c r="P60" s="12"/>
      <c r="Q60" s="12"/>
      <c r="R60" s="12"/>
      <c r="S60" s="12"/>
      <c r="T60" s="12"/>
      <c r="U60" s="12"/>
      <c r="V60" s="12"/>
      <c r="W60" s="12"/>
      <c r="X60" s="12"/>
      <c r="Y60" s="12"/>
      <c r="Z60" s="12"/>
      <c r="AA60" s="12"/>
      <c r="AB60" s="12"/>
      <c r="AC60" s="12"/>
      <c r="AD60" s="12"/>
      <c r="AE60" s="12"/>
      <c r="AF60" s="12"/>
      <c r="AG60" s="12"/>
      <c r="AH60" s="12"/>
    </row>
    <row r="61" spans="1:34" ht="45.75">
      <c r="A61" s="55"/>
      <c r="B61" s="58" t="str">
        <f ca="1">OFFSET(L!$C$1,MATCH("Declaration"&amp;ADDRESS(ROW(),COLUMN(),4),L!$A:$A,0)-1,SL,,)&amp;Q$37</f>
        <v>7) Has all applicable smelter information received by your company been reported in this declaration?  (*)</v>
      </c>
      <c r="C61" s="13"/>
      <c r="D61" s="385" t="str">
        <f ca="1">D25</f>
        <v>Answer</v>
      </c>
      <c r="E61" s="385"/>
      <c r="F61" s="21"/>
      <c r="G61" s="58" t="str">
        <f ca="1">G25</f>
        <v>Comments</v>
      </c>
      <c r="H61" s="344" t="str">
        <f>IF(Q69="(*)","Click here to enter smelter names","")</f>
        <v/>
      </c>
      <c r="I61" s="344"/>
      <c r="J61" s="344"/>
      <c r="K61" s="50"/>
      <c r="L61" s="148" t="s">
        <v>2435</v>
      </c>
      <c r="M61" s="149"/>
      <c r="N61" s="142"/>
      <c r="O61" s="143"/>
      <c r="P61" s="12"/>
      <c r="Q61" s="12"/>
      <c r="R61" s="12"/>
      <c r="S61" s="12"/>
      <c r="T61" s="12"/>
      <c r="U61" s="12"/>
      <c r="V61" s="12"/>
      <c r="W61" s="12"/>
      <c r="X61" s="12"/>
      <c r="Y61" s="12"/>
      <c r="Z61" s="12"/>
      <c r="AA61" s="12"/>
      <c r="AB61" s="12"/>
      <c r="AC61" s="12"/>
      <c r="AD61" s="12"/>
      <c r="AE61" s="12"/>
      <c r="AF61" s="12"/>
      <c r="AG61" s="12"/>
      <c r="AH61" s="12"/>
    </row>
    <row r="62" spans="1:34" ht="22.5">
      <c r="A62" s="55"/>
      <c r="B62" s="54" t="str">
        <f ca="1">B38</f>
        <v>Tantalum  (*)</v>
      </c>
      <c r="C62" s="49"/>
      <c r="D62" s="342" t="s">
        <v>904</v>
      </c>
      <c r="E62" s="343"/>
      <c r="F62" s="62"/>
      <c r="G62" s="339"/>
      <c r="H62" s="340"/>
      <c r="I62" s="340"/>
      <c r="J62" s="341"/>
      <c r="K62" s="50"/>
      <c r="L62" s="154"/>
      <c r="M62" s="144"/>
      <c r="N62" s="142"/>
      <c r="O62" s="143"/>
      <c r="P62" s="12"/>
      <c r="Q62" s="12"/>
      <c r="R62" s="12"/>
      <c r="S62" s="12"/>
      <c r="T62" s="12"/>
      <c r="U62" s="12"/>
      <c r="V62" s="12"/>
      <c r="W62" s="12"/>
      <c r="X62" s="12"/>
      <c r="Y62" s="12"/>
      <c r="Z62" s="12"/>
      <c r="AA62" s="12"/>
      <c r="AB62" s="12"/>
      <c r="AC62" s="12"/>
      <c r="AD62" s="12"/>
      <c r="AE62" s="12"/>
      <c r="AF62" s="12"/>
      <c r="AG62" s="12"/>
      <c r="AH62" s="12"/>
    </row>
    <row r="63" spans="1:34" ht="22.5">
      <c r="A63" s="55"/>
      <c r="B63" s="54" t="str">
        <f ca="1">B39</f>
        <v>Tin  (*)</v>
      </c>
      <c r="C63" s="49"/>
      <c r="D63" s="342" t="s">
        <v>904</v>
      </c>
      <c r="E63" s="343"/>
      <c r="F63" s="62"/>
      <c r="G63" s="339"/>
      <c r="H63" s="340"/>
      <c r="I63" s="340"/>
      <c r="J63" s="341"/>
      <c r="K63" s="50"/>
      <c r="L63" s="154"/>
      <c r="M63" s="142"/>
      <c r="N63" s="142"/>
      <c r="O63" s="143"/>
      <c r="P63" s="12"/>
      <c r="Q63" s="12"/>
      <c r="R63" s="12"/>
      <c r="S63" s="12"/>
      <c r="T63" s="12"/>
      <c r="U63" s="12"/>
      <c r="V63" s="12"/>
      <c r="W63" s="12"/>
      <c r="X63" s="12"/>
      <c r="Y63" s="12"/>
      <c r="Z63" s="12"/>
      <c r="AA63" s="12"/>
      <c r="AB63" s="12"/>
      <c r="AC63" s="12"/>
      <c r="AD63" s="12"/>
      <c r="AE63" s="12"/>
      <c r="AF63" s="12"/>
      <c r="AG63" s="12"/>
      <c r="AH63" s="12"/>
    </row>
    <row r="64" spans="1:34" ht="22.5">
      <c r="A64" s="55"/>
      <c r="B64" s="54" t="str">
        <f ca="1">B40</f>
        <v>Gold  (*)</v>
      </c>
      <c r="C64" s="49"/>
      <c r="D64" s="342" t="s">
        <v>904</v>
      </c>
      <c r="E64" s="343"/>
      <c r="F64" s="62"/>
      <c r="G64" s="339"/>
      <c r="H64" s="340"/>
      <c r="I64" s="340"/>
      <c r="J64" s="341"/>
      <c r="K64" s="50"/>
      <c r="L64" s="154"/>
      <c r="M64" s="142"/>
      <c r="N64" s="142"/>
      <c r="O64" s="143"/>
      <c r="P64" s="12"/>
      <c r="Q64" s="12"/>
      <c r="R64" s="12"/>
      <c r="S64" s="12"/>
      <c r="T64" s="12"/>
      <c r="U64" s="12"/>
      <c r="V64" s="12"/>
      <c r="W64" s="12"/>
      <c r="X64" s="12"/>
      <c r="Y64" s="12"/>
      <c r="Z64" s="12"/>
      <c r="AA64" s="12"/>
      <c r="AB64" s="12"/>
      <c r="AC64" s="12"/>
      <c r="AD64" s="12"/>
      <c r="AE64" s="12"/>
      <c r="AF64" s="12"/>
      <c r="AG64" s="12"/>
      <c r="AH64" s="12"/>
    </row>
    <row r="65" spans="1:34" ht="22.5">
      <c r="A65" s="52"/>
      <c r="B65" s="54" t="str">
        <f ca="1">B41</f>
        <v xml:space="preserve">Tungsten  </v>
      </c>
      <c r="C65" s="63"/>
      <c r="D65" s="342"/>
      <c r="E65" s="343"/>
      <c r="F65" s="64"/>
      <c r="G65" s="339"/>
      <c r="H65" s="340"/>
      <c r="I65" s="340"/>
      <c r="J65" s="341"/>
      <c r="K65" s="53"/>
      <c r="L65" s="155"/>
      <c r="M65" s="142"/>
      <c r="N65" s="142"/>
      <c r="O65" s="143"/>
      <c r="P65" s="12"/>
      <c r="Q65" s="12"/>
      <c r="R65" s="12"/>
      <c r="S65" s="12"/>
      <c r="T65" s="12"/>
      <c r="U65" s="12"/>
      <c r="V65" s="12"/>
      <c r="W65" s="12"/>
      <c r="X65" s="12"/>
      <c r="Y65" s="12"/>
      <c r="Z65" s="12"/>
      <c r="AA65" s="12"/>
      <c r="AB65" s="12"/>
      <c r="AC65" s="12"/>
      <c r="AD65" s="12"/>
      <c r="AE65" s="12"/>
      <c r="AF65" s="12"/>
      <c r="AG65" s="12"/>
      <c r="AH65" s="12"/>
    </row>
    <row r="66" spans="1:34" ht="15">
      <c r="A66" s="55"/>
      <c r="B66" s="20"/>
      <c r="C66" s="20"/>
      <c r="D66" s="20"/>
      <c r="E66" s="20"/>
      <c r="F66" s="20"/>
      <c r="G66" s="100"/>
      <c r="H66" s="100"/>
      <c r="I66" s="100"/>
      <c r="J66" s="100"/>
      <c r="K66" s="50"/>
      <c r="L66" s="151"/>
      <c r="M66" s="142"/>
      <c r="N66" s="142"/>
      <c r="O66" s="143"/>
      <c r="P66" s="12"/>
      <c r="Q66" s="12"/>
      <c r="R66" s="12"/>
      <c r="S66" s="12"/>
      <c r="T66" s="12"/>
      <c r="U66" s="12"/>
      <c r="V66" s="12"/>
      <c r="W66" s="12"/>
      <c r="X66" s="12"/>
      <c r="Y66" s="12"/>
      <c r="Z66" s="12"/>
      <c r="AA66" s="12"/>
      <c r="AB66" s="12"/>
      <c r="AC66" s="12"/>
      <c r="AD66" s="12"/>
      <c r="AE66" s="12"/>
      <c r="AF66" s="12"/>
      <c r="AG66" s="12"/>
      <c r="AH66" s="12"/>
    </row>
    <row r="67" spans="1:34" ht="15">
      <c r="A67" s="55"/>
      <c r="B67" s="356" t="str">
        <f ca="1">OFFSET(L!$C$1,MATCH("Declaration"&amp;ADDRESS(ROW(),COLUMN(),4),L!$A:$A,0)-1,SL,,)</f>
        <v>Answer the Following Questions at a Company Level</v>
      </c>
      <c r="C67" s="356"/>
      <c r="D67" s="356"/>
      <c r="E67" s="356"/>
      <c r="F67" s="356"/>
      <c r="G67" s="356"/>
      <c r="H67" s="356"/>
      <c r="I67" s="356"/>
      <c r="J67" s="356"/>
      <c r="K67" s="50"/>
      <c r="L67" s="151"/>
      <c r="M67" s="142"/>
      <c r="N67" s="142"/>
      <c r="O67" s="143"/>
      <c r="P67" s="12"/>
      <c r="Q67" s="12"/>
      <c r="R67" s="12"/>
      <c r="S67" s="12"/>
      <c r="T67" s="12"/>
      <c r="U67" s="12"/>
      <c r="V67" s="12"/>
      <c r="W67" s="12"/>
      <c r="X67" s="12"/>
      <c r="Y67" s="12"/>
      <c r="Z67" s="12"/>
      <c r="AA67" s="12"/>
      <c r="AB67" s="12"/>
      <c r="AC67" s="12"/>
      <c r="AD67" s="12"/>
      <c r="AE67" s="12"/>
      <c r="AF67" s="12"/>
      <c r="AG67" s="12"/>
      <c r="AH67" s="12"/>
    </row>
    <row r="68" spans="1:34" ht="15.75">
      <c r="A68" s="65"/>
      <c r="B68" s="66" t="str">
        <f ca="1">OFFSET(L!$C$1,MATCH("Declaration"&amp;ADDRESS(ROW(),COLUMN(),4),L!$A:$A,0)-1,SL,,)</f>
        <v>Question</v>
      </c>
      <c r="C68" s="101"/>
      <c r="D68" s="360" t="str">
        <f ca="1">D25</f>
        <v>Answer</v>
      </c>
      <c r="E68" s="360"/>
      <c r="F68" s="67"/>
      <c r="G68" s="360" t="str">
        <f ca="1">G25</f>
        <v>Comments</v>
      </c>
      <c r="H68" s="360" t="e">
        <f>HLOOKUP(SL,LT,$O68,0)</f>
        <v>#NAME?</v>
      </c>
      <c r="I68" s="360" t="e">
        <f>HLOOKUP(SL,LT,$O68,0)</f>
        <v>#NAME?</v>
      </c>
      <c r="J68" s="102"/>
      <c r="K68" s="69"/>
      <c r="L68" s="150"/>
      <c r="M68" s="149"/>
      <c r="N68" s="142"/>
      <c r="O68" s="143"/>
      <c r="P68" s="12"/>
      <c r="Q68" s="12"/>
      <c r="R68" s="12"/>
      <c r="S68" s="12"/>
      <c r="T68" s="12"/>
      <c r="U68" s="12"/>
      <c r="V68" s="12"/>
      <c r="W68" s="12"/>
      <c r="X68" s="12"/>
      <c r="Y68" s="12"/>
      <c r="Z68" s="12"/>
      <c r="AA68" s="12"/>
      <c r="AB68" s="12"/>
      <c r="AC68" s="12"/>
      <c r="AD68" s="12"/>
      <c r="AE68" s="12"/>
      <c r="AF68" s="12"/>
      <c r="AG68" s="12"/>
      <c r="AH68" s="12"/>
    </row>
    <row r="69" spans="1:34" ht="30">
      <c r="A69" s="55"/>
      <c r="B69" s="70" t="str">
        <f ca="1">OFFSET(L!$C$1,MATCH("Declaration"&amp;ADDRESS(ROW(),COLUMN(),4),L!$A:$A,0)-1,SL,,)&amp;$Q$37</f>
        <v>A. Do you have a policy in place that addresses conflict minerals sourcing? (*)</v>
      </c>
      <c r="C69" s="71"/>
      <c r="D69" s="342" t="s">
        <v>904</v>
      </c>
      <c r="E69" s="343"/>
      <c r="F69" s="71"/>
      <c r="G69" s="339"/>
      <c r="H69" s="340"/>
      <c r="I69" s="340"/>
      <c r="J69" s="341"/>
      <c r="K69" s="50"/>
      <c r="L69" s="150" t="s">
        <v>2436</v>
      </c>
      <c r="M69" s="149"/>
      <c r="N69" s="142"/>
      <c r="O69" s="143"/>
      <c r="P69" s="12"/>
      <c r="Q69" s="12"/>
      <c r="R69" s="12"/>
      <c r="S69" s="12"/>
      <c r="T69" s="12"/>
      <c r="U69" s="12"/>
      <c r="V69" s="12"/>
      <c r="W69" s="12"/>
      <c r="X69" s="12"/>
      <c r="Y69" s="12"/>
      <c r="Z69" s="12"/>
      <c r="AA69" s="12"/>
      <c r="AB69" s="12"/>
      <c r="AC69" s="12"/>
      <c r="AD69" s="12"/>
      <c r="AE69" s="12"/>
      <c r="AF69" s="12"/>
      <c r="AG69" s="12"/>
      <c r="AH69" s="12"/>
    </row>
    <row r="70" spans="1:34" ht="15.75">
      <c r="A70" s="55"/>
      <c r="B70" s="72"/>
      <c r="C70" s="15"/>
      <c r="D70" s="1"/>
      <c r="E70" s="1"/>
      <c r="F70" s="15"/>
      <c r="G70" s="345"/>
      <c r="H70" s="345"/>
      <c r="I70" s="345"/>
      <c r="J70" s="345"/>
      <c r="K70" s="50"/>
      <c r="L70" s="150"/>
      <c r="M70" s="149"/>
      <c r="N70" s="142"/>
      <c r="O70" s="143"/>
      <c r="P70" s="12"/>
      <c r="Q70" s="12"/>
      <c r="R70" s="12"/>
      <c r="S70" s="12"/>
      <c r="T70" s="12"/>
      <c r="U70" s="12"/>
      <c r="V70" s="12"/>
      <c r="W70" s="12"/>
      <c r="X70" s="12"/>
      <c r="Y70" s="12"/>
      <c r="Z70" s="12"/>
      <c r="AA70" s="12"/>
      <c r="AB70" s="12"/>
      <c r="AC70" s="12"/>
      <c r="AD70" s="12"/>
      <c r="AE70" s="12"/>
      <c r="AF70" s="12"/>
      <c r="AG70" s="12"/>
      <c r="AH70" s="12"/>
    </row>
    <row r="71" spans="1:34" ht="49.15" customHeight="1">
      <c r="A71" s="55"/>
      <c r="B71" s="70" t="str">
        <f ca="1">OFFSET(L!$C$1,MATCH("Declaration"&amp;ADDRESS(ROW(),COLUMN(),4),L!$A:$A,0)-1,SL,,)&amp;$Q$37</f>
        <v>B. Is your conflict minerals sourcing policy publicly available on your website? (Note – If yes, the user shall specify the URL in the comment field.) (*)</v>
      </c>
      <c r="C71" s="71"/>
      <c r="D71" s="342" t="s">
        <v>904</v>
      </c>
      <c r="E71" s="343"/>
      <c r="F71" s="71"/>
      <c r="G71" s="357" t="s">
        <v>4997</v>
      </c>
      <c r="H71" s="358"/>
      <c r="I71" s="358"/>
      <c r="J71" s="359"/>
      <c r="K71" s="50"/>
      <c r="L71" s="150" t="s">
        <v>2437</v>
      </c>
      <c r="M71" s="149"/>
      <c r="N71" s="142"/>
      <c r="O71" s="143"/>
      <c r="P71" s="12"/>
      <c r="Q71" s="12"/>
      <c r="R71" s="12"/>
      <c r="S71" s="12"/>
      <c r="T71" s="12"/>
      <c r="U71" s="12"/>
      <c r="V71" s="12"/>
      <c r="W71" s="12"/>
      <c r="X71" s="12"/>
      <c r="Y71" s="12"/>
      <c r="Z71" s="12"/>
      <c r="AA71" s="12"/>
      <c r="AB71" s="12"/>
      <c r="AC71" s="12"/>
      <c r="AD71" s="12"/>
      <c r="AE71" s="12"/>
      <c r="AF71" s="12"/>
      <c r="AG71" s="12"/>
      <c r="AH71" s="12"/>
    </row>
    <row r="72" spans="1:34" ht="15.75">
      <c r="A72" s="55"/>
      <c r="B72" s="72"/>
      <c r="C72" s="15"/>
      <c r="D72" s="1"/>
      <c r="E72" s="1"/>
      <c r="F72" s="15"/>
      <c r="G72" s="68"/>
      <c r="H72" s="68"/>
      <c r="I72" s="68"/>
      <c r="J72" s="68"/>
      <c r="K72" s="50"/>
      <c r="L72" s="150"/>
      <c r="M72" s="149"/>
      <c r="N72" s="142"/>
      <c r="O72" s="143"/>
      <c r="P72" s="12"/>
      <c r="Q72" s="12"/>
      <c r="R72" s="12"/>
      <c r="S72" s="12"/>
      <c r="T72" s="12"/>
      <c r="U72" s="12"/>
      <c r="V72" s="12"/>
      <c r="W72" s="12"/>
      <c r="X72" s="12"/>
      <c r="Y72" s="12"/>
      <c r="Z72" s="12"/>
      <c r="AA72" s="12"/>
      <c r="AB72" s="12"/>
      <c r="AC72" s="12"/>
      <c r="AD72" s="12"/>
      <c r="AE72" s="12"/>
      <c r="AF72" s="12"/>
      <c r="AG72" s="12"/>
      <c r="AH72" s="12"/>
    </row>
    <row r="73" spans="1:34" ht="36.75" customHeight="1">
      <c r="A73" s="55"/>
      <c r="B73" s="70" t="str">
        <f ca="1">OFFSET(L!$C$1,MATCH("Declaration"&amp;ADDRESS(ROW(),COLUMN(),4),L!$A:$A,0)-1,SL,,)&amp;$Q$37</f>
        <v>C. Do you require your direct suppliers to be DRC conflict-free? (*)</v>
      </c>
      <c r="C73" s="71"/>
      <c r="D73" s="342" t="s">
        <v>904</v>
      </c>
      <c r="E73" s="343"/>
      <c r="F73" s="71"/>
      <c r="G73" s="339"/>
      <c r="H73" s="340"/>
      <c r="I73" s="340"/>
      <c r="J73" s="341"/>
      <c r="K73" s="50"/>
      <c r="L73" s="150" t="s">
        <v>2437</v>
      </c>
      <c r="M73" s="149"/>
      <c r="N73" s="142"/>
      <c r="O73" s="143"/>
      <c r="P73" s="12"/>
      <c r="Q73" s="12"/>
      <c r="R73" s="12"/>
      <c r="S73" s="12"/>
      <c r="T73" s="12"/>
      <c r="U73" s="12"/>
      <c r="V73" s="12"/>
      <c r="W73" s="12"/>
      <c r="X73" s="12"/>
      <c r="Y73" s="12"/>
      <c r="Z73" s="12"/>
      <c r="AA73" s="12"/>
      <c r="AB73" s="12"/>
      <c r="AC73" s="12"/>
      <c r="AD73" s="12"/>
      <c r="AE73" s="12"/>
      <c r="AF73" s="12"/>
      <c r="AG73" s="12"/>
      <c r="AH73" s="12"/>
    </row>
    <row r="74" spans="1:34" ht="15.75">
      <c r="A74" s="55"/>
      <c r="B74" s="72"/>
      <c r="C74" s="15"/>
      <c r="D74" s="1"/>
      <c r="E74" s="1"/>
      <c r="F74" s="15"/>
      <c r="G74" s="68"/>
      <c r="H74" s="68"/>
      <c r="I74" s="68"/>
      <c r="J74" s="68"/>
      <c r="K74" s="50"/>
      <c r="L74" s="150"/>
      <c r="M74" s="149"/>
      <c r="N74" s="142"/>
      <c r="O74" s="143"/>
      <c r="P74" s="12"/>
      <c r="Q74" s="12"/>
      <c r="R74" s="12"/>
      <c r="S74" s="12"/>
      <c r="T74" s="12"/>
      <c r="U74" s="12"/>
      <c r="V74" s="12"/>
      <c r="W74" s="12"/>
      <c r="X74" s="12"/>
      <c r="Y74" s="12"/>
      <c r="Z74" s="12"/>
      <c r="AA74" s="12"/>
      <c r="AB74" s="12"/>
      <c r="AC74" s="12"/>
      <c r="AD74" s="12"/>
      <c r="AE74" s="12"/>
      <c r="AF74" s="12"/>
      <c r="AG74" s="12"/>
      <c r="AH74" s="12"/>
    </row>
    <row r="75" spans="1:34" ht="48" customHeight="1">
      <c r="A75" s="55"/>
      <c r="B75" s="70" t="str">
        <f ca="1">OFFSET(L!$C$1,MATCH("Declaration"&amp;ADDRESS(ROW(),COLUMN(),4),L!$A:$A,0)-1,SL,,)&amp;$Q$37</f>
        <v>D. Do you require your direct suppliers to source the 3TG from smelters whose due diligence practices have been validated by an independent third party audit program? (*)</v>
      </c>
      <c r="C75" s="71"/>
      <c r="D75" s="342" t="s">
        <v>905</v>
      </c>
      <c r="E75" s="343"/>
      <c r="F75" s="71"/>
      <c r="G75" s="339"/>
      <c r="H75" s="340"/>
      <c r="I75" s="340"/>
      <c r="J75" s="341"/>
      <c r="K75" s="50"/>
      <c r="L75" s="150" t="s">
        <v>2516</v>
      </c>
      <c r="M75" s="149"/>
      <c r="N75" s="142"/>
      <c r="O75" s="143"/>
      <c r="P75" s="12"/>
      <c r="Q75" s="12"/>
      <c r="R75" s="12"/>
      <c r="S75" s="12"/>
      <c r="T75" s="12"/>
      <c r="U75" s="12"/>
      <c r="V75" s="12"/>
      <c r="W75" s="12"/>
      <c r="X75" s="12"/>
      <c r="Y75" s="12"/>
      <c r="Z75" s="12"/>
      <c r="AA75" s="12"/>
      <c r="AB75" s="12"/>
      <c r="AC75" s="12"/>
      <c r="AD75" s="12"/>
      <c r="AE75" s="12"/>
      <c r="AF75" s="12"/>
      <c r="AG75" s="12"/>
      <c r="AH75" s="12"/>
    </row>
    <row r="76" spans="1:34" ht="15.75">
      <c r="A76" s="55"/>
      <c r="B76" s="73"/>
      <c r="C76" s="15"/>
      <c r="D76" s="74"/>
      <c r="E76" s="74"/>
      <c r="F76" s="15"/>
      <c r="G76" s="68"/>
      <c r="H76" s="68"/>
      <c r="I76" s="68"/>
      <c r="J76" s="68"/>
      <c r="K76" s="50"/>
      <c r="L76" s="150"/>
      <c r="M76" s="149"/>
      <c r="N76" s="142"/>
      <c r="O76" s="143"/>
      <c r="P76" s="12"/>
      <c r="Q76" s="12"/>
      <c r="R76" s="12"/>
      <c r="S76" s="12"/>
      <c r="T76" s="12"/>
      <c r="U76" s="12"/>
      <c r="V76" s="12"/>
      <c r="W76" s="12"/>
      <c r="X76" s="12"/>
      <c r="Y76" s="12"/>
      <c r="Z76" s="12"/>
      <c r="AA76" s="12"/>
      <c r="AB76" s="12"/>
      <c r="AC76" s="12"/>
      <c r="AD76" s="12"/>
      <c r="AE76" s="12"/>
      <c r="AF76" s="12"/>
      <c r="AG76" s="12"/>
      <c r="AH76" s="12"/>
    </row>
    <row r="77" spans="1:34" ht="35.25" customHeight="1">
      <c r="A77" s="55"/>
      <c r="B77" s="70" t="str">
        <f ca="1">OFFSET(L!$C$1,MATCH("Declaration"&amp;ADDRESS(ROW(),COLUMN(),4),L!$A:$A,0)-1,SL,,)&amp;$Q$37</f>
        <v>E. Have you implemented due diligence measures for conflict-free sourcing? (*)</v>
      </c>
      <c r="C77" s="71"/>
      <c r="D77" s="342" t="s">
        <v>904</v>
      </c>
      <c r="E77" s="343"/>
      <c r="F77" s="71"/>
      <c r="G77" s="339"/>
      <c r="H77" s="340"/>
      <c r="I77" s="340"/>
      <c r="J77" s="341"/>
      <c r="K77" s="50"/>
      <c r="L77" s="150" t="s">
        <v>2437</v>
      </c>
      <c r="M77" s="149"/>
      <c r="N77" s="142"/>
      <c r="O77" s="143"/>
      <c r="P77" s="12"/>
      <c r="Q77" s="12"/>
      <c r="R77" s="12"/>
      <c r="S77" s="12"/>
      <c r="T77" s="12"/>
      <c r="U77" s="12"/>
      <c r="V77" s="12"/>
      <c r="W77" s="12"/>
      <c r="X77" s="12"/>
      <c r="Y77" s="12"/>
      <c r="Z77" s="12"/>
      <c r="AA77" s="12"/>
      <c r="AB77" s="12"/>
      <c r="AC77" s="12"/>
      <c r="AD77" s="12"/>
      <c r="AE77" s="12"/>
      <c r="AF77" s="12"/>
      <c r="AG77" s="12"/>
      <c r="AH77" s="12"/>
    </row>
    <row r="78" spans="1:34" ht="15.75">
      <c r="A78" s="55"/>
      <c r="B78" s="72"/>
      <c r="C78" s="15"/>
      <c r="D78" s="1"/>
      <c r="E78" s="1"/>
      <c r="F78" s="15"/>
      <c r="G78" s="68"/>
      <c r="H78" s="68"/>
      <c r="I78" s="68"/>
      <c r="J78" s="68"/>
      <c r="K78" s="50"/>
      <c r="L78" s="150"/>
      <c r="M78" s="149"/>
      <c r="N78" s="142"/>
      <c r="O78" s="143"/>
      <c r="P78" s="12"/>
      <c r="Q78" s="12"/>
      <c r="R78" s="12"/>
      <c r="S78" s="12"/>
      <c r="T78" s="12"/>
      <c r="U78" s="12"/>
      <c r="V78" s="12"/>
      <c r="W78" s="12"/>
      <c r="X78" s="12"/>
      <c r="Y78" s="12"/>
      <c r="Z78" s="12"/>
      <c r="AA78" s="12"/>
      <c r="AB78" s="12"/>
      <c r="AC78" s="12"/>
      <c r="AD78" s="12"/>
      <c r="AE78" s="12"/>
      <c r="AF78" s="12"/>
      <c r="AG78" s="12"/>
      <c r="AH78" s="12"/>
    </row>
    <row r="79" spans="1:34" ht="49.5" customHeight="1">
      <c r="A79" s="55"/>
      <c r="B79" s="70"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71"/>
      <c r="D79" s="342" t="s">
        <v>904</v>
      </c>
      <c r="E79" s="343"/>
      <c r="F79" s="71"/>
      <c r="G79" s="339"/>
      <c r="H79" s="340"/>
      <c r="I79" s="340"/>
      <c r="J79" s="341"/>
      <c r="K79" s="50"/>
      <c r="L79" s="150" t="s">
        <v>2437</v>
      </c>
      <c r="M79" s="149"/>
      <c r="N79" s="142"/>
      <c r="O79" s="143"/>
      <c r="P79" s="12"/>
      <c r="Q79" s="12"/>
      <c r="R79" s="12"/>
      <c r="S79" s="12"/>
      <c r="T79" s="12"/>
      <c r="U79" s="12"/>
      <c r="V79" s="12"/>
      <c r="W79" s="12"/>
      <c r="X79" s="12"/>
      <c r="Y79" s="12"/>
      <c r="Z79" s="12"/>
      <c r="AA79" s="12"/>
      <c r="AB79" s="12"/>
      <c r="AC79" s="12"/>
      <c r="AD79" s="12"/>
      <c r="AE79" s="12"/>
      <c r="AF79" s="12"/>
      <c r="AG79" s="12"/>
      <c r="AH79" s="12"/>
    </row>
    <row r="80" spans="1:34" ht="15.75">
      <c r="A80" s="55"/>
      <c r="B80" s="75"/>
      <c r="C80" s="15"/>
      <c r="D80" s="1"/>
      <c r="E80" s="1"/>
      <c r="F80" s="16"/>
      <c r="G80" s="345"/>
      <c r="H80" s="345"/>
      <c r="I80" s="345"/>
      <c r="J80" s="345"/>
      <c r="K80" s="50"/>
      <c r="L80" s="150"/>
      <c r="M80" s="149"/>
      <c r="N80" s="142"/>
      <c r="O80" s="143"/>
      <c r="P80" s="12"/>
      <c r="Q80" s="12"/>
      <c r="R80" s="12"/>
      <c r="S80" s="12"/>
      <c r="T80" s="12"/>
      <c r="U80" s="12"/>
      <c r="V80" s="12"/>
      <c r="W80" s="12"/>
      <c r="X80" s="12"/>
      <c r="Y80" s="12"/>
      <c r="Z80" s="12"/>
      <c r="AA80" s="12"/>
      <c r="AB80" s="12"/>
      <c r="AC80" s="12"/>
      <c r="AD80" s="12"/>
      <c r="AE80" s="12"/>
      <c r="AF80" s="12"/>
      <c r="AG80" s="12"/>
      <c r="AH80" s="12"/>
    </row>
    <row r="81" spans="1:34" ht="30">
      <c r="A81" s="55"/>
      <c r="B81" s="70" t="str">
        <f ca="1">OFFSET(L!$C$1,MATCH("Declaration"&amp;ADDRESS(ROW(),COLUMN(),4),L!$A:$A,0)-1,SL,,)&amp;$Q$37</f>
        <v>G. Do you request smelter names from your suppliers? (*)</v>
      </c>
      <c r="C81" s="71"/>
      <c r="D81" s="342" t="s">
        <v>904</v>
      </c>
      <c r="E81" s="343"/>
      <c r="F81" s="71"/>
      <c r="G81" s="339"/>
      <c r="H81" s="340"/>
      <c r="I81" s="340"/>
      <c r="J81" s="341"/>
      <c r="K81" s="50"/>
      <c r="L81" s="150" t="s">
        <v>2437</v>
      </c>
      <c r="M81" s="149"/>
      <c r="N81" s="142"/>
      <c r="O81" s="143"/>
      <c r="P81" s="12"/>
      <c r="Q81" s="12"/>
      <c r="R81" s="12"/>
      <c r="S81" s="12"/>
      <c r="T81" s="12"/>
      <c r="U81" s="12"/>
      <c r="V81" s="12"/>
      <c r="W81" s="12"/>
      <c r="X81" s="12"/>
      <c r="Y81" s="12"/>
      <c r="Z81" s="12"/>
      <c r="AA81" s="12"/>
      <c r="AB81" s="12"/>
      <c r="AC81" s="12"/>
      <c r="AD81" s="12"/>
      <c r="AE81" s="12"/>
      <c r="AF81" s="12"/>
      <c r="AG81" s="12"/>
      <c r="AH81" s="12"/>
    </row>
    <row r="82" spans="1:34" ht="15.75">
      <c r="A82" s="55"/>
      <c r="B82" s="75"/>
      <c r="C82" s="15"/>
      <c r="D82" s="1"/>
      <c r="E82" s="1"/>
      <c r="F82" s="16"/>
      <c r="G82" s="345"/>
      <c r="H82" s="345"/>
      <c r="I82" s="345"/>
      <c r="J82" s="345"/>
      <c r="K82" s="50"/>
      <c r="L82" s="150"/>
      <c r="M82" s="149"/>
      <c r="N82" s="142"/>
      <c r="O82" s="143"/>
      <c r="P82" s="12"/>
      <c r="Q82" s="12"/>
      <c r="R82" s="12"/>
      <c r="S82" s="12"/>
      <c r="T82" s="12"/>
      <c r="U82" s="12"/>
      <c r="V82" s="12"/>
      <c r="W82" s="12"/>
      <c r="X82" s="12"/>
      <c r="Y82" s="12"/>
      <c r="Z82" s="12"/>
      <c r="AA82" s="12"/>
      <c r="AB82" s="12"/>
      <c r="AC82" s="12"/>
      <c r="AD82" s="12"/>
      <c r="AE82" s="12"/>
      <c r="AF82" s="12"/>
      <c r="AG82" s="12"/>
      <c r="AH82" s="12"/>
    </row>
    <row r="83" spans="1:34" ht="37.15" customHeight="1">
      <c r="A83" s="55"/>
      <c r="B83" s="70" t="str">
        <f ca="1">OFFSET(L!$C$1,MATCH("Declaration"&amp;ADDRESS(ROW(),COLUMN(),4),L!$A:$A,0)-1,SL,,)&amp;$Q$37</f>
        <v>H. Do you review due diligence information received from your suppliers against your company’s expectations? (*)</v>
      </c>
      <c r="C83" s="71"/>
      <c r="D83" s="342" t="s">
        <v>904</v>
      </c>
      <c r="E83" s="343"/>
      <c r="F83" s="71"/>
      <c r="G83" s="339"/>
      <c r="H83" s="340"/>
      <c r="I83" s="340"/>
      <c r="J83" s="341"/>
      <c r="K83" s="50"/>
      <c r="L83" s="150" t="s">
        <v>2435</v>
      </c>
      <c r="M83" s="149"/>
      <c r="N83" s="142"/>
      <c r="O83" s="143"/>
      <c r="P83" s="12"/>
      <c r="Q83" s="12"/>
      <c r="R83" s="12"/>
      <c r="S83" s="12"/>
      <c r="T83" s="12"/>
      <c r="U83" s="12"/>
      <c r="V83" s="12"/>
      <c r="W83" s="12"/>
      <c r="X83" s="12"/>
      <c r="Y83" s="12"/>
      <c r="Z83" s="12"/>
      <c r="AA83" s="12"/>
      <c r="AB83" s="12"/>
      <c r="AC83" s="12"/>
      <c r="AD83" s="12"/>
      <c r="AE83" s="12"/>
      <c r="AF83" s="12"/>
      <c r="AG83" s="12"/>
      <c r="AH83" s="12"/>
    </row>
    <row r="84" spans="1:34" ht="15.75">
      <c r="A84" s="55"/>
      <c r="B84" s="72"/>
      <c r="C84" s="15"/>
      <c r="D84" s="1"/>
      <c r="E84" s="1"/>
      <c r="F84" s="16"/>
      <c r="G84" s="346"/>
      <c r="H84" s="346"/>
      <c r="I84" s="346"/>
      <c r="J84" s="346"/>
      <c r="K84" s="50"/>
      <c r="L84" s="150"/>
      <c r="M84" s="149"/>
      <c r="N84" s="142"/>
      <c r="O84" s="143"/>
      <c r="P84" s="12"/>
      <c r="Q84" s="12"/>
      <c r="R84" s="12"/>
      <c r="S84" s="12"/>
      <c r="T84" s="12"/>
      <c r="U84" s="12"/>
      <c r="V84" s="12"/>
      <c r="W84" s="12"/>
      <c r="X84" s="12"/>
      <c r="Y84" s="12"/>
      <c r="Z84" s="12"/>
      <c r="AA84" s="12"/>
      <c r="AB84" s="12"/>
      <c r="AC84" s="12"/>
      <c r="AD84" s="12"/>
      <c r="AE84" s="12"/>
      <c r="AF84" s="12"/>
      <c r="AG84" s="12"/>
      <c r="AH84" s="12"/>
    </row>
    <row r="85" spans="1:34" ht="30">
      <c r="A85" s="55"/>
      <c r="B85" s="70" t="str">
        <f ca="1">OFFSET(L!$C$1,MATCH("Declaration"&amp;ADDRESS(ROW(),COLUMN(),4),L!$A:$A,0)-1,SL,,)&amp;$Q$37</f>
        <v>I. Does your review process include corrective action management? (*)</v>
      </c>
      <c r="C85" s="71"/>
      <c r="D85" s="342" t="s">
        <v>904</v>
      </c>
      <c r="E85" s="343"/>
      <c r="F85" s="71"/>
      <c r="G85" s="339"/>
      <c r="H85" s="340"/>
      <c r="I85" s="340"/>
      <c r="J85" s="341"/>
      <c r="K85" s="50"/>
      <c r="L85" s="150" t="s">
        <v>2437</v>
      </c>
      <c r="M85" s="149"/>
      <c r="N85" s="142"/>
      <c r="O85" s="143"/>
      <c r="P85" s="12"/>
      <c r="Q85" s="12"/>
      <c r="R85" s="12"/>
      <c r="S85" s="12"/>
      <c r="T85" s="12"/>
      <c r="U85" s="12"/>
      <c r="V85" s="12"/>
      <c r="W85" s="12"/>
      <c r="X85" s="12"/>
      <c r="Y85" s="12"/>
      <c r="Z85" s="12"/>
      <c r="AA85" s="12"/>
      <c r="AB85" s="12"/>
      <c r="AC85" s="12"/>
      <c r="AD85" s="12"/>
      <c r="AE85" s="12"/>
      <c r="AF85" s="12"/>
      <c r="AG85" s="12"/>
      <c r="AH85" s="12"/>
    </row>
    <row r="86" spans="1:34" ht="15">
      <c r="A86" s="55"/>
      <c r="B86" s="76"/>
      <c r="C86" s="13"/>
      <c r="D86" s="77"/>
      <c r="E86" s="77"/>
      <c r="F86" s="13"/>
      <c r="G86" s="78"/>
      <c r="H86" s="78"/>
      <c r="I86" s="78"/>
      <c r="J86" s="78"/>
      <c r="K86" s="50"/>
      <c r="L86" s="150"/>
      <c r="M86" s="149"/>
      <c r="N86" s="142"/>
      <c r="O86" s="143"/>
      <c r="P86" s="12"/>
      <c r="Q86" s="12"/>
      <c r="R86" s="12"/>
      <c r="S86" s="12"/>
      <c r="T86" s="12"/>
      <c r="U86" s="12"/>
      <c r="V86" s="12"/>
      <c r="W86" s="12"/>
      <c r="X86" s="12"/>
      <c r="Y86" s="12"/>
      <c r="Z86" s="12"/>
      <c r="AA86" s="12"/>
      <c r="AB86" s="12"/>
      <c r="AC86" s="12"/>
      <c r="AD86" s="12"/>
      <c r="AE86" s="12"/>
      <c r="AF86" s="12"/>
      <c r="AG86" s="12"/>
      <c r="AH86" s="12"/>
    </row>
    <row r="87" spans="1:34" ht="30">
      <c r="A87" s="55"/>
      <c r="B87" s="70" t="str">
        <f ca="1">OFFSET(L!$C$1,MATCH("Declaration"&amp;ADDRESS(ROW(),COLUMN(),4),L!$A:$A,0)-1,SL,,)&amp;$Q$37</f>
        <v>J. Are you subject to the SEC Conflict Minerals rule? (*)</v>
      </c>
      <c r="C87" s="71"/>
      <c r="D87" s="342" t="s">
        <v>905</v>
      </c>
      <c r="E87" s="343"/>
      <c r="F87" s="71"/>
      <c r="G87" s="339"/>
      <c r="H87" s="340"/>
      <c r="I87" s="340"/>
      <c r="J87" s="341"/>
      <c r="K87" s="50"/>
      <c r="L87" s="151" t="s">
        <v>2437</v>
      </c>
      <c r="M87" s="142"/>
      <c r="N87" s="142"/>
      <c r="O87" s="143"/>
      <c r="P87" s="12"/>
      <c r="Q87" s="12"/>
      <c r="R87" s="12"/>
      <c r="S87" s="12"/>
      <c r="T87" s="12"/>
      <c r="U87" s="12"/>
      <c r="V87" s="12"/>
      <c r="W87" s="12"/>
      <c r="X87" s="12"/>
      <c r="Y87" s="12"/>
      <c r="Z87" s="12"/>
      <c r="AA87" s="12"/>
      <c r="AB87" s="12"/>
      <c r="AC87" s="12"/>
      <c r="AD87" s="12"/>
      <c r="AE87" s="12"/>
      <c r="AF87" s="12"/>
      <c r="AG87" s="12"/>
      <c r="AH87" s="12"/>
    </row>
    <row r="88" spans="1:34" ht="15">
      <c r="A88" s="55"/>
      <c r="B88" s="347" t="str">
        <f ca="1">IF(OR($D$8="",$I$3=""),"","Click here to check required fields completion")</f>
        <v/>
      </c>
      <c r="C88" s="347"/>
      <c r="D88" s="347"/>
      <c r="E88" s="347"/>
      <c r="F88" s="347"/>
      <c r="G88" s="347"/>
      <c r="H88" s="347"/>
      <c r="I88" s="347"/>
      <c r="J88" s="347"/>
      <c r="K88" s="50"/>
      <c r="L88" s="151"/>
      <c r="M88" s="142"/>
      <c r="N88" s="142"/>
      <c r="O88" s="143"/>
      <c r="P88" s="12"/>
      <c r="Q88" s="12"/>
      <c r="R88" s="12"/>
      <c r="S88" s="12"/>
      <c r="T88" s="12"/>
      <c r="U88" s="12"/>
      <c r="V88" s="12"/>
      <c r="W88" s="12"/>
      <c r="X88" s="12"/>
      <c r="Y88" s="12"/>
      <c r="Z88" s="12"/>
      <c r="AA88" s="12"/>
      <c r="AB88" s="12"/>
      <c r="AC88" s="12"/>
      <c r="AD88" s="12"/>
      <c r="AE88" s="12"/>
      <c r="AF88" s="12"/>
      <c r="AG88" s="12"/>
      <c r="AH88" s="12"/>
    </row>
    <row r="89" spans="1:34" ht="15.75" thickBot="1">
      <c r="A89" s="337" t="str">
        <f ca="1">OFFSET(L!$C$1,MATCH("General"&amp;"Cpy",L!$A:$A,0)-1,SL,,)</f>
        <v>© 2016 Conflict-Free Sourcing Initiative. All rights reserved.</v>
      </c>
      <c r="B89" s="338"/>
      <c r="C89" s="338"/>
      <c r="D89" s="338"/>
      <c r="E89" s="338"/>
      <c r="F89" s="338"/>
      <c r="G89" s="338"/>
      <c r="H89" s="338"/>
      <c r="I89" s="338"/>
      <c r="J89" s="338"/>
      <c r="K89" s="79"/>
      <c r="L89" s="151"/>
      <c r="M89" s="142"/>
      <c r="N89" s="142"/>
      <c r="O89" s="143"/>
      <c r="P89" s="12"/>
      <c r="Q89" s="12"/>
      <c r="R89" s="12"/>
      <c r="S89" s="12"/>
      <c r="T89" s="12"/>
      <c r="U89" s="12"/>
      <c r="V89" s="12"/>
      <c r="W89" s="12"/>
      <c r="X89" s="12"/>
      <c r="Y89" s="12"/>
      <c r="Z89" s="12"/>
      <c r="AA89" s="12"/>
      <c r="AB89" s="12"/>
      <c r="AC89" s="12"/>
      <c r="AD89" s="12"/>
      <c r="AE89" s="12"/>
      <c r="AF89" s="12"/>
      <c r="AG89" s="12"/>
      <c r="AH89" s="12"/>
    </row>
    <row r="90" spans="1:34" ht="15.75" thickTop="1">
      <c r="A90" s="142"/>
      <c r="B90" s="125"/>
      <c r="L90" s="141"/>
      <c r="M90" s="142"/>
      <c r="N90" s="142"/>
      <c r="O90" s="143"/>
      <c r="P90" s="12"/>
      <c r="Q90" s="12"/>
      <c r="R90" s="12"/>
      <c r="S90" s="12"/>
      <c r="T90" s="12"/>
      <c r="U90" s="12"/>
      <c r="V90" s="12"/>
      <c r="W90" s="12"/>
      <c r="X90" s="12"/>
      <c r="Y90" s="12"/>
      <c r="Z90" s="12"/>
      <c r="AA90" s="12"/>
      <c r="AB90" s="12"/>
      <c r="AC90" s="12"/>
      <c r="AD90" s="12"/>
      <c r="AE90" s="12"/>
      <c r="AF90" s="12"/>
      <c r="AG90" s="12"/>
      <c r="AH90" s="12"/>
    </row>
    <row r="91" spans="1:34">
      <c r="A91" s="125"/>
      <c r="B91" s="125"/>
    </row>
    <row r="93" spans="1:34" hidden="1"/>
    <row r="94" spans="1:34" hidden="1">
      <c r="D94" s="158" t="s">
        <v>904</v>
      </c>
    </row>
    <row r="95" spans="1:34" hidden="1">
      <c r="D95" s="158" t="s">
        <v>905</v>
      </c>
    </row>
    <row r="96" spans="1:34" hidden="1">
      <c r="D96" s="158" t="s">
        <v>906</v>
      </c>
    </row>
    <row r="97" spans="4:4" hidden="1">
      <c r="D97" s="158" t="s">
        <v>907</v>
      </c>
    </row>
    <row r="98" spans="4:4" hidden="1">
      <c r="D98" s="158" t="s">
        <v>908</v>
      </c>
    </row>
    <row r="99" spans="4:4" hidden="1">
      <c r="D99" s="158" t="s">
        <v>909</v>
      </c>
    </row>
    <row r="100" spans="4:4" hidden="1">
      <c r="D100" s="158" t="s">
        <v>910</v>
      </c>
    </row>
    <row r="101" spans="4:4" hidden="1">
      <c r="D101" s="158" t="s">
        <v>912</v>
      </c>
    </row>
    <row r="102" spans="4:4" hidden="1">
      <c r="D102" s="158" t="s">
        <v>911</v>
      </c>
    </row>
    <row r="103" spans="4:4" hidden="1"/>
  </sheetData>
  <sheetProtection password="E98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49:E49"/>
    <mergeCell ref="D55:E55"/>
    <mergeCell ref="D32:E32"/>
    <mergeCell ref="D46:E46"/>
    <mergeCell ref="D35:E35"/>
    <mergeCell ref="D39:E39"/>
    <mergeCell ref="D45:E45"/>
    <mergeCell ref="G45:J45"/>
    <mergeCell ref="G40:J40"/>
    <mergeCell ref="D44:E44"/>
    <mergeCell ref="G33:J33"/>
    <mergeCell ref="D43:E43"/>
    <mergeCell ref="D26:E26"/>
    <mergeCell ref="D27:E27"/>
    <mergeCell ref="D22:E22"/>
    <mergeCell ref="B24:J24"/>
    <mergeCell ref="G38:J38"/>
    <mergeCell ref="D38:E38"/>
    <mergeCell ref="D34:E34"/>
    <mergeCell ref="D33:E33"/>
    <mergeCell ref="G34:J34"/>
    <mergeCell ref="D31:E31"/>
    <mergeCell ref="D25:E25"/>
    <mergeCell ref="D37:E37"/>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D15:J15"/>
    <mergeCell ref="D17:J17"/>
    <mergeCell ref="D16:J16"/>
    <mergeCell ref="D20:J20"/>
    <mergeCell ref="G27:J27"/>
    <mergeCell ref="D21:J21"/>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H61:J61"/>
    <mergeCell ref="G56:J56"/>
    <mergeCell ref="D59:E59"/>
    <mergeCell ref="D58:E58"/>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s>
  <phoneticPr fontId="6" type="noConversion"/>
  <conditionalFormatting sqref="D69:E69 D71:E71 D73:E73 D75:E75 D87:E87 D79:E79 D81:E81 D83:E83 D85:E85 D77">
    <cfRule type="expression" dxfId="63" priority="30" stopIfTrue="1">
      <formula>AND($D$26="No",$D$27="No",$D$28="No",$D$29="No")</formula>
    </cfRule>
    <cfRule type="expression" dxfId="62" priority="31" stopIfTrue="1">
      <formula>IF(D69="",TRUE)</formula>
    </cfRule>
  </conditionalFormatting>
  <conditionalFormatting sqref="G71:J71">
    <cfRule type="expression" dxfId="61" priority="2" stopIfTrue="1">
      <formula>IF(AND($D$71="Yes",$G$71=""),TRUE)</formula>
    </cfRule>
  </conditionalFormatting>
  <conditionalFormatting sqref="D26:E26">
    <cfRule type="expression" dxfId="60" priority="82" stopIfTrue="1">
      <formula>IF($D$26="",TRUE)</formula>
    </cfRule>
  </conditionalFormatting>
  <conditionalFormatting sqref="D38:E38 D44:E44 D50:E50 D56:E56 D62:E62">
    <cfRule type="expression" dxfId="59" priority="87" stopIfTrue="1">
      <formula>$P$38=""</formula>
    </cfRule>
    <cfRule type="expression" dxfId="58" priority="88" stopIfTrue="1">
      <formula>D38=""</formula>
    </cfRule>
  </conditionalFormatting>
  <conditionalFormatting sqref="D27:E27">
    <cfRule type="expression" dxfId="57" priority="89" stopIfTrue="1">
      <formula>IF($D$27="",TRUE)</formula>
    </cfRule>
  </conditionalFormatting>
  <conditionalFormatting sqref="D28:E28">
    <cfRule type="expression" dxfId="56" priority="90" stopIfTrue="1">
      <formula>IF($D$28="",TRUE)</formula>
    </cfRule>
  </conditionalFormatting>
  <conditionalFormatting sqref="D29:E29">
    <cfRule type="expression" dxfId="55" priority="91" stopIfTrue="1">
      <formula>IF($D$29="",TRUE)</formula>
    </cfRule>
  </conditionalFormatting>
  <conditionalFormatting sqref="D32:E32">
    <cfRule type="expression" dxfId="54" priority="92" stopIfTrue="1">
      <formula>IF($D$32="",TRUE)</formula>
    </cfRule>
  </conditionalFormatting>
  <conditionalFormatting sqref="D33:E33">
    <cfRule type="expression" dxfId="53" priority="93" stopIfTrue="1">
      <formula>IF($D$33="",TRUE)</formula>
    </cfRule>
  </conditionalFormatting>
  <conditionalFormatting sqref="D34:E34">
    <cfRule type="expression" dxfId="52" priority="94" stopIfTrue="1">
      <formula>IF($D$34="",TRUE)</formula>
    </cfRule>
  </conditionalFormatting>
  <conditionalFormatting sqref="D35:E35">
    <cfRule type="expression" dxfId="51" priority="95" stopIfTrue="1">
      <formula>IF($D$35="",TRUE)</formula>
    </cfRule>
  </conditionalFormatting>
  <conditionalFormatting sqref="D8:J8">
    <cfRule type="expression" dxfId="50" priority="96" stopIfTrue="1">
      <formula>IF($D$8="",TRUE)</formula>
    </cfRule>
  </conditionalFormatting>
  <conditionalFormatting sqref="D9:G9">
    <cfRule type="expression" dxfId="49" priority="97" stopIfTrue="1">
      <formula>IF($D$9="",TRUE)</formula>
    </cfRule>
  </conditionalFormatting>
  <conditionalFormatting sqref="D15:J15">
    <cfRule type="expression" dxfId="48" priority="98" stopIfTrue="1">
      <formula>IF($D$15="",TRUE)</formula>
    </cfRule>
  </conditionalFormatting>
  <conditionalFormatting sqref="D16:J16">
    <cfRule type="expression" dxfId="47" priority="99" stopIfTrue="1">
      <formula>IF($D$16="",TRUE)</formula>
    </cfRule>
  </conditionalFormatting>
  <conditionalFormatting sqref="D17:J17">
    <cfRule type="expression" dxfId="46" priority="100" stopIfTrue="1">
      <formula>IF($D$17="",TRUE)</formula>
    </cfRule>
  </conditionalFormatting>
  <conditionalFormatting sqref="D18:J18">
    <cfRule type="expression" dxfId="45" priority="101" stopIfTrue="1">
      <formula>IF($D$18="",TRUE)</formula>
    </cfRule>
  </conditionalFormatting>
  <conditionalFormatting sqref="D20:J20">
    <cfRule type="expression" dxfId="44" priority="102" stopIfTrue="1">
      <formula>IF($D$20="",TRUE)</formula>
    </cfRule>
  </conditionalFormatting>
  <conditionalFormatting sqref="D21:J21">
    <cfRule type="expression" dxfId="43" priority="103" stopIfTrue="1">
      <formula>IF($D$21="",TRUE)</formula>
    </cfRule>
  </conditionalFormatting>
  <conditionalFormatting sqref="D22:E22">
    <cfRule type="expression" dxfId="42" priority="104" stopIfTrue="1">
      <formula>IF($D$22="",TRUE)</formula>
    </cfRule>
  </conditionalFormatting>
  <conditionalFormatting sqref="D39:E39 D45:E45 D51:E51 D57:E57 D63:E63">
    <cfRule type="expression" dxfId="41" priority="105" stopIfTrue="1">
      <formula>$P$39=""</formula>
    </cfRule>
    <cfRule type="expression" dxfId="40" priority="106" stopIfTrue="1">
      <formula>D39=""</formula>
    </cfRule>
  </conditionalFormatting>
  <conditionalFormatting sqref="D40:E40 D46:E46 D52:E52 D58:E58 D64:E64">
    <cfRule type="expression" dxfId="39" priority="107" stopIfTrue="1">
      <formula>$P$40=""</formula>
    </cfRule>
    <cfRule type="expression" dxfId="38" priority="108" stopIfTrue="1">
      <formula>D40=""</formula>
    </cfRule>
  </conditionalFormatting>
  <conditionalFormatting sqref="D41:E41 D47:E47 D53:E53 D59:E59 D65:E65">
    <cfRule type="expression" dxfId="37" priority="109" stopIfTrue="1">
      <formula>$P$41=""</formula>
    </cfRule>
    <cfRule type="expression" dxfId="36" priority="110" stopIfTrue="1">
      <formula>D41=""</formula>
    </cfRule>
  </conditionalFormatting>
  <conditionalFormatting sqref="D10:J10">
    <cfRule type="expression" dxfId="35" priority="1" stopIfTrue="1">
      <formula>IF($D$9=$Q$9,TRUE)</formula>
    </cfRule>
    <cfRule type="expression" dxfId="34"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Y1291"/>
  <sheetViews>
    <sheetView showGridLines="0" showZeros="0" zoomScaleNormal="100" workbookViewId="0">
      <pane ySplit="4" topLeftCell="A5" activePane="bottomLeft" state="frozen"/>
      <selection pane="bottomLeft" activeCell="C255" sqref="C255"/>
    </sheetView>
  </sheetViews>
  <sheetFormatPr defaultColWidth="8.75" defaultRowHeight="12.75"/>
  <cols>
    <col min="1" max="1" width="13.625" style="204" customWidth="1"/>
    <col min="2" max="2" width="13.375" style="204" customWidth="1"/>
    <col min="3" max="3" width="40.5" style="204" customWidth="1"/>
    <col min="4" max="4" width="30.625" style="204" customWidth="1"/>
    <col min="5" max="5" width="20.75" style="204" customWidth="1"/>
    <col min="6" max="7" width="13.75" style="204" customWidth="1"/>
    <col min="8" max="8" width="25.125" style="204" customWidth="1"/>
    <col min="9" max="9" width="24.25" style="204" customWidth="1"/>
    <col min="10" max="10" width="18.375" style="204" customWidth="1"/>
    <col min="11" max="11" width="27.375" style="204" customWidth="1"/>
    <col min="12" max="12" width="20.625" style="204" customWidth="1"/>
    <col min="13" max="13" width="35.125" style="204" customWidth="1"/>
    <col min="14" max="14" width="42.125" style="204" customWidth="1"/>
    <col min="15" max="15" width="32.125" style="204" customWidth="1"/>
    <col min="16" max="16" width="22.875" style="204" customWidth="1"/>
    <col min="17" max="17" width="43.5" style="204" customWidth="1"/>
    <col min="18" max="18" width="8.75" style="142" hidden="1" customWidth="1"/>
    <col min="19" max="19" width="6.125" style="142" hidden="1" customWidth="1"/>
    <col min="20" max="20" width="8.625" style="142" hidden="1" customWidth="1"/>
    <col min="21" max="21" width="8.75" style="142" hidden="1" customWidth="1"/>
    <col min="22" max="23" width="4.375" style="142" hidden="1" customWidth="1"/>
    <col min="24" max="24" width="4.375" style="204" hidden="1" customWidth="1"/>
    <col min="25" max="25" width="7.75" style="204" hidden="1" customWidth="1"/>
    <col min="26" max="31" width="4.375" style="204" customWidth="1"/>
    <col min="32" max="16384" width="8.75" style="204"/>
  </cols>
  <sheetData>
    <row r="1" spans="1:25" s="22" customFormat="1" ht="13.5" thickTop="1">
      <c r="A1" s="230"/>
      <c r="B1" s="224"/>
      <c r="C1" s="224"/>
      <c r="D1" s="224"/>
      <c r="E1" s="224"/>
      <c r="F1" s="224"/>
      <c r="G1" s="224"/>
      <c r="H1" s="224"/>
      <c r="I1" s="224"/>
      <c r="J1" s="224"/>
      <c r="K1" s="224"/>
      <c r="L1" s="224"/>
      <c r="M1" s="224"/>
      <c r="N1" s="224"/>
      <c r="O1" s="224"/>
      <c r="P1" s="224"/>
      <c r="Q1" s="225"/>
      <c r="R1" s="231" t="s">
        <v>4707</v>
      </c>
      <c r="S1" s="232"/>
      <c r="T1" s="233"/>
      <c r="U1" s="231"/>
      <c r="V1" s="231"/>
      <c r="W1" s="231"/>
    </row>
    <row r="2" spans="1:25" s="22" customFormat="1" ht="20.100000000000001" customHeight="1">
      <c r="A2" s="256"/>
      <c r="B2" s="302" t="str">
        <f ca="1">OFFSET(L!$C$1,MATCH("Smelter List"&amp;ADDRESS(ROW(),COLUMN(),4),L!$A:$A,0)-1,SL,,)</f>
        <v>TO BEGIN:</v>
      </c>
      <c r="C2" s="258"/>
      <c r="D2" s="258"/>
      <c r="E2" s="258"/>
      <c r="F2" s="113"/>
      <c r="G2" s="113"/>
      <c r="H2" s="113"/>
      <c r="I2" s="114"/>
      <c r="J2" s="392" t="str">
        <f ca="1">OFFSET(L!$C$1,MATCH("Smelter List"&amp;ADDRESS(ROW(),COLUMN(),4),L!$A:$A,0)-1,SL,,)</f>
        <v>Link to "CFSP Compliant Smelter List"</v>
      </c>
      <c r="K2" s="393"/>
      <c r="L2" s="393"/>
      <c r="M2" s="393"/>
      <c r="N2" s="393"/>
      <c r="O2" s="393"/>
      <c r="P2" s="170"/>
      <c r="Q2" s="159"/>
      <c r="R2" s="231"/>
      <c r="S2" s="231"/>
      <c r="T2" s="232"/>
      <c r="U2" s="231"/>
      <c r="V2" s="231"/>
      <c r="W2" s="231"/>
    </row>
    <row r="3" spans="1:25" s="22" customFormat="1" ht="183.95" customHeight="1">
      <c r="A3" s="257"/>
      <c r="B3" s="394" t="str">
        <f ca="1">OFFSET(L!$C$1,MATCH("Smelter List"&amp;ADDRESS(ROW(),COLUMN(),4),L!$A:$A,0)-1,SL,,)</f>
        <v xml:space="preserve">
Option A: If you know the Smelter Identification Number, input the number in Column A (columns B, C, D, E, F, G, I, and J will auto-populate).
Option B:  If you have a Metal and Smelter Reference List name combination, complete the following steps: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
NOTE: A combination of Options A and B can be used to complete the Smelter List tab.  Do not alter autopopulated cells.  All errors in the Smelter Reference List should be reported to CFSI by contacting info@conflictfreesmelter.org.
</v>
      </c>
      <c r="C3" s="394"/>
      <c r="D3" s="394"/>
      <c r="E3" s="394"/>
      <c r="F3" s="179"/>
      <c r="G3" s="179" t="str">
        <f ca="1">OFFSET(L!$C$1,MATCH("General"&amp;"Cpy",L!$A:$A,0)-1,SL,,)</f>
        <v>© 2016 Conflict-Free Sourcing Initiative. All rights reserved.</v>
      </c>
      <c r="H3" s="115"/>
      <c r="I3" s="116"/>
      <c r="J3" s="171"/>
      <c r="K3" s="172"/>
      <c r="L3" s="160"/>
      <c r="M3" s="173"/>
      <c r="N3" s="173"/>
      <c r="O3" s="124"/>
      <c r="P3" s="124"/>
      <c r="Q3" s="188" t="s">
        <v>4932</v>
      </c>
      <c r="R3" s="231"/>
      <c r="S3" s="231"/>
      <c r="T3" s="234" t="s">
        <v>2292</v>
      </c>
      <c r="U3" s="234" t="s">
        <v>2291</v>
      </c>
      <c r="V3" s="234" t="s">
        <v>2293</v>
      </c>
      <c r="W3" s="234" t="s">
        <v>2290</v>
      </c>
    </row>
    <row r="4" spans="1:25" s="237" customFormat="1" ht="78.75">
      <c r="A4" s="198" t="str">
        <f ca="1">OFFSET(L!$C$1,MATCH("Smelter List"&amp;ADDRESS(ROW(),COLUMN(),4),L!$A:$A,0)-1,SL,,)</f>
        <v>Smelter Identification Number Input Column</v>
      </c>
      <c r="B4" s="198" t="str">
        <f ca="1">OFFSET(L!$C$1,MATCH("Smelter List"&amp;ADDRESS(ROW(),COLUMN(),4),L!$A:$A,0)-1,SL,,)</f>
        <v>Metal (*)</v>
      </c>
      <c r="C4" s="198" t="str">
        <f ca="1">OFFSET(L!$C$1,MATCH("Smelter List"&amp;ADDRESS(ROW(),COLUMN(),4),L!$A:$A,0)-1,SL,,)</f>
        <v>Smelter Reference List (*)</v>
      </c>
      <c r="D4" s="198" t="str">
        <f ca="1">OFFSET(L!$C$1,MATCH("Smelter List"&amp;ADDRESS(ROW(),COLUMN(),4),L!$A:$A,0)-1,SL,,)</f>
        <v>Smelter Name (*)</v>
      </c>
      <c r="E4" s="198" t="str">
        <f ca="1">OFFSET(L!$C$1,MATCH("Smelter List"&amp;ADDRESS(ROW(),COLUMN(),4),L!$A:$A,0)-1,SL,,)</f>
        <v>Smelter Country (*)</v>
      </c>
      <c r="F4" s="198" t="str">
        <f ca="1">OFFSET(L!$C$1,MATCH("Smelter List"&amp;ADDRESS(ROW(),COLUMN(),4),L!$A:$A,0)-1,SL,,)</f>
        <v>Smelter Identification</v>
      </c>
      <c r="G4" s="198" t="str">
        <f ca="1">OFFSET(L!$C$1,MATCH("Smelter List"&amp;ADDRESS(ROW(),COLUMN(),4),L!$A:$A,0)-1,SL,,)</f>
        <v>Source of Smelter Identification Number</v>
      </c>
      <c r="H4" s="199" t="str">
        <f ca="1">OFFSET(L!$C$1,MATCH("Smelter List"&amp;ADDRESS(ROW(),COLUMN(),4),L!$A:$A,0)-1,SL,,)</f>
        <v xml:space="preserve">Smelter Street </v>
      </c>
      <c r="I4" s="199" t="str">
        <f ca="1">OFFSET(L!$C$1,MATCH("Smelter List"&amp;ADDRESS(ROW(),COLUMN(),4),L!$A:$A,0)-1,SL,,)</f>
        <v>Smelter City</v>
      </c>
      <c r="J4" s="199" t="str">
        <f ca="1">OFFSET(L!$C$1,MATCH("Smelter List"&amp;ADDRESS(ROW(),COLUMN(),4),L!$A:$A,0)-1,SL,,)</f>
        <v>Smelter Facility Location: State / Province</v>
      </c>
      <c r="K4" s="199" t="str">
        <f ca="1">OFFSET(L!$C$1,MATCH("Smelter List"&amp;ADDRESS(ROW(),COLUMN(),4),L!$A:$A,0)-1,SL,,)</f>
        <v>Smelter Contact Name</v>
      </c>
      <c r="L4" s="199" t="str">
        <f ca="1">OFFSET(L!$C$1,MATCH("Smelter List"&amp;ADDRESS(ROW(),COLUMN(),4),L!$A:$A,0)-1,SL,,)</f>
        <v>Smelter Contact Email</v>
      </c>
      <c r="M4" s="199" t="str">
        <f ca="1">OFFSET(L!$C$1,MATCH("Smelter List"&amp;ADDRESS(ROW(),COLUMN(),4),L!$A:$A,0)-1,SL,,)</f>
        <v>Proposed next steps</v>
      </c>
      <c r="N4" s="199" t="str">
        <f ca="1">OFFSET(L!$C$1,MATCH("Smelter List"&amp;ADDRESS(ROW(),COLUMN(),4),L!$A:$A,0)-1,SL,,)</f>
        <v>Name of Mine(s) or if recycled or scrap sourced, enter "recycled" or "scrap"</v>
      </c>
      <c r="O4" s="199" t="str">
        <f ca="1">OFFSET(L!$C$1,MATCH("Smelter List"&amp;ADDRESS(ROW(),COLUMN(),4),L!$A:$A,0)-1,SL,,)</f>
        <v>Location (Country) of Mine(s) or if recycled or scrap sourced, enter "recycled" or "scrap"</v>
      </c>
      <c r="P4" s="199" t="str">
        <f ca="1">OFFSET(L!$C$1,MATCH("Smelter List"&amp;ADDRESS(ROW(),COLUMN(),4),L!$A:$A,0)-1,SL,,)</f>
        <v>Does 100% of the smelter’s feedstock originate from recycled or scrap sources?</v>
      </c>
      <c r="Q4" s="200" t="str">
        <f ca="1">OFFSET(L!$C$1,MATCH("Smelter List"&amp;ADDRESS(ROW(),COLUMN(),4),L!$A:$A,0)-1,SL,,)</f>
        <v>Comments</v>
      </c>
      <c r="R4" s="235"/>
      <c r="S4" s="236"/>
      <c r="T4" s="236" t="s">
        <v>2538</v>
      </c>
      <c r="U4" s="236" t="s">
        <v>1802</v>
      </c>
      <c r="V4" s="236"/>
      <c r="W4" s="236"/>
    </row>
    <row r="5" spans="1:25" s="223" customFormat="1" ht="20.25">
      <c r="A5" s="291" t="s">
        <v>1384</v>
      </c>
      <c r="B5" s="292" t="str">
        <f ca="1">IF(LEN(A5)=0,"",INDEX('Smelter Reference List'!$A:$A,MATCH($A5,'Smelter Reference List'!$E:$E,0)))</f>
        <v>Tungsten</v>
      </c>
      <c r="C5" s="298" t="str">
        <f ca="1">IF(LEN(A5)=0,"",INDEX('Smelter Reference List'!$C:$C,MATCH($A5,'Smelter Reference List'!$E:$E,0)))</f>
        <v>A.L.M.T. TUNGSTEN Corp.</v>
      </c>
      <c r="D5" s="292" t="str">
        <f ca="1">IF(ISERROR($S5),"",OFFSET('Smelter Reference List'!$C$4,$S5-4,0)&amp;"")</f>
        <v>A.L.M.T. TUNGSTEN Corp.</v>
      </c>
      <c r="E5" s="292" t="str">
        <f ca="1">IF(ISERROR($S5),"",OFFSET('Smelter Reference List'!$D$4,$S5-4,0)&amp;"")</f>
        <v>JAPAN</v>
      </c>
      <c r="F5" s="292" t="str">
        <f ca="1">IF(ISERROR($S5),"",OFFSET('Smelter Reference List'!$E$4,$S5-4,0))</f>
        <v>CID000004</v>
      </c>
      <c r="G5" s="292" t="str">
        <f ca="1">IF(C5=$U$4,"Enter smelter details", IF(ISERROR($S5),"",OFFSET('Smelter Reference List'!$F$4,$S5-4,0)))</f>
        <v>CFSI</v>
      </c>
      <c r="H5" s="293">
        <f ca="1">IF(ISERROR($S5),"",OFFSET('Smelter Reference List'!$G$4,$S5-4,0))</f>
        <v>0</v>
      </c>
      <c r="I5" s="294" t="str">
        <f ca="1">IF(ISERROR($S5),"",OFFSET('Smelter Reference List'!$H$4,$S5-4,0))</f>
        <v>Toyama City</v>
      </c>
      <c r="J5" s="294" t="str">
        <f ca="1">IF(ISERROR($S5),"",OFFSET('Smelter Reference List'!$I$4,$S5-4,0))</f>
        <v>Toyama</v>
      </c>
      <c r="K5" s="295"/>
      <c r="L5" s="295"/>
      <c r="M5" s="295"/>
      <c r="N5" s="295"/>
      <c r="O5" s="295"/>
      <c r="P5" s="295"/>
      <c r="Q5" s="296"/>
      <c r="R5" s="227"/>
      <c r="S5" s="228">
        <f ca="1">IF(C5="",NA(),MATCH($B5&amp;$C5,'Smelter Reference List'!$J:$J,0))</f>
        <v>466</v>
      </c>
      <c r="T5" s="229"/>
      <c r="U5" s="229">
        <f t="shared" ref="U5" ca="1" si="0">IF(AND(C5="Smelter not listed",OR(LEN(D5)=0,LEN(E5)=0)),1,0)</f>
        <v>0</v>
      </c>
      <c r="V5" s="229"/>
      <c r="W5" s="229"/>
      <c r="Y5" s="223" t="str">
        <f t="shared" ref="Y5" ca="1" si="1">B5&amp;C5</f>
        <v>TungstenA.L.M.T. TUNGSTEN Corp.</v>
      </c>
    </row>
    <row r="6" spans="1:25" s="223" customFormat="1" ht="20.25">
      <c r="A6" s="291" t="s">
        <v>2637</v>
      </c>
      <c r="B6" s="292" t="str">
        <f ca="1">IF(LEN(A6)=0,"",INDEX('Smelter Reference List'!$A:$A,MATCH($A6,'Smelter Reference List'!$E:$E,0)))</f>
        <v>Gold</v>
      </c>
      <c r="C6" s="298" t="str">
        <f ca="1">IF(LEN(A6)=0,"",INDEX('Smelter Reference List'!$C:$C,MATCH($A6,'Smelter Reference List'!$E:$E,0)))</f>
        <v>Advanced Chemical Company</v>
      </c>
      <c r="D6" s="292" t="str">
        <f ca="1">IF(ISERROR($S6),"",OFFSET('Smelter Reference List'!$C$4,$S6-4,0)&amp;"")</f>
        <v>Advanced Chemical Company</v>
      </c>
      <c r="E6" s="292" t="str">
        <f ca="1">IF(ISERROR($S6),"",OFFSET('Smelter Reference List'!$D$4,$S6-4,0)&amp;"")</f>
        <v>UNITED STATES OF AMERICA</v>
      </c>
      <c r="F6" s="292" t="str">
        <f ca="1">IF(ISERROR($S6),"",OFFSET('Smelter Reference List'!$E$4,$S6-4,0))</f>
        <v>CID000015</v>
      </c>
      <c r="G6" s="292" t="str">
        <f ca="1">IF(C6=$U$4,"Enter smelter details", IF(ISERROR($S6),"",OFFSET('Smelter Reference List'!$F$4,$S6-4,0)))</f>
        <v>CFSI</v>
      </c>
      <c r="H6" s="293">
        <f ca="1">IF(ISERROR($S6),"",OFFSET('Smelter Reference List'!$G$4,$S6-4,0))</f>
        <v>0</v>
      </c>
      <c r="I6" s="294" t="str">
        <f ca="1">IF(ISERROR($S6),"",OFFSET('Smelter Reference List'!$H$4,$S6-4,0))</f>
        <v>Warwick</v>
      </c>
      <c r="J6" s="294" t="str">
        <f ca="1">IF(ISERROR($S6),"",OFFSET('Smelter Reference List'!$I$4,$S6-4,0))</f>
        <v>Rhode Island</v>
      </c>
      <c r="K6" s="295"/>
      <c r="L6" s="295"/>
      <c r="M6" s="295"/>
      <c r="N6" s="295"/>
      <c r="O6" s="295"/>
      <c r="P6" s="295"/>
      <c r="Q6" s="296"/>
      <c r="R6" s="227"/>
      <c r="S6" s="228">
        <f ca="1">IF(C6="",NA(),MATCH($B6&amp;$C6,'Smelter Reference List'!$J:$J,0))</f>
        <v>7</v>
      </c>
      <c r="T6" s="229"/>
      <c r="U6" s="229">
        <f t="shared" ref="U6:U69" ca="1" si="2">IF(AND(C6="Smelter not listed",OR(LEN(D6)=0,LEN(E6)=0)),1,0)</f>
        <v>0</v>
      </c>
      <c r="V6" s="229"/>
      <c r="W6" s="229"/>
      <c r="Y6" s="223" t="str">
        <f t="shared" ref="Y6:Y69" ca="1" si="3">B6&amp;C6</f>
        <v>GoldAdvanced Chemical Company</v>
      </c>
    </row>
    <row r="7" spans="1:25" s="223" customFormat="1" ht="20.25">
      <c r="A7" s="291" t="s">
        <v>1212</v>
      </c>
      <c r="B7" s="292" t="str">
        <f ca="1">IF(LEN(A7)=0,"",INDEX('Smelter Reference List'!$A:$A,MATCH($A7,'Smelter Reference List'!$E:$E,0)))</f>
        <v>Gold</v>
      </c>
      <c r="C7" s="298" t="str">
        <f ca="1">IF(LEN(A7)=0,"",INDEX('Smelter Reference List'!$C:$C,MATCH($A7,'Smelter Reference List'!$E:$E,0)))</f>
        <v>Aida Chemical Industries Co., Ltd.</v>
      </c>
      <c r="D7" s="292" t="str">
        <f ca="1">IF(ISERROR($S7),"",OFFSET('Smelter Reference List'!$C$4,$S7-4,0)&amp;"")</f>
        <v>Aida Chemical Industries Co., Ltd.</v>
      </c>
      <c r="E7" s="292" t="str">
        <f ca="1">IF(ISERROR($S7),"",OFFSET('Smelter Reference List'!$D$4,$S7-4,0)&amp;"")</f>
        <v>JAPAN</v>
      </c>
      <c r="F7" s="292" t="str">
        <f ca="1">IF(ISERROR($S7),"",OFFSET('Smelter Reference List'!$E$4,$S7-4,0))</f>
        <v>CID000019</v>
      </c>
      <c r="G7" s="292" t="str">
        <f ca="1">IF(C7=$U$4,"Enter smelter details", IF(ISERROR($S7),"",OFFSET('Smelter Reference List'!$F$4,$S7-4,0)))</f>
        <v>CFSI</v>
      </c>
      <c r="H7" s="293">
        <f ca="1">IF(ISERROR($S7),"",OFFSET('Smelter Reference List'!$G$4,$S7-4,0))</f>
        <v>0</v>
      </c>
      <c r="I7" s="294" t="str">
        <f ca="1">IF(ISERROR($S7),"",OFFSET('Smelter Reference List'!$H$4,$S7-4,0))</f>
        <v>Fuchu</v>
      </c>
      <c r="J7" s="294" t="str">
        <f ca="1">IF(ISERROR($S7),"",OFFSET('Smelter Reference List'!$I$4,$S7-4,0))</f>
        <v>Tokyo</v>
      </c>
      <c r="K7" s="295"/>
      <c r="L7" s="295"/>
      <c r="M7" s="295"/>
      <c r="N7" s="295"/>
      <c r="O7" s="295"/>
      <c r="P7" s="295"/>
      <c r="Q7" s="296"/>
      <c r="R7" s="227"/>
      <c r="S7" s="228">
        <f ca="1">IF(C7="",NA(),MATCH($B7&amp;$C7,'Smelter Reference List'!$J:$J,0))</f>
        <v>10</v>
      </c>
      <c r="T7" s="229"/>
      <c r="U7" s="229">
        <f t="shared" ca="1" si="2"/>
        <v>0</v>
      </c>
      <c r="V7" s="229"/>
      <c r="W7" s="229"/>
      <c r="Y7" s="223" t="str">
        <f t="shared" ca="1" si="3"/>
        <v>GoldAida Chemical Industries Co., Ltd.</v>
      </c>
    </row>
    <row r="8" spans="1:25" s="223" customFormat="1" ht="20.25">
      <c r="A8" s="291" t="s">
        <v>1213</v>
      </c>
      <c r="B8" s="292" t="str">
        <f ca="1">IF(LEN(A8)=0,"",INDEX('Smelter Reference List'!$A:$A,MATCH($A8,'Smelter Reference List'!$E:$E,0)))</f>
        <v>Gold</v>
      </c>
      <c r="C8" s="298" t="str">
        <f ca="1">IF(LEN(A8)=0,"",INDEX('Smelter Reference List'!$C:$C,MATCH($A8,'Smelter Reference List'!$E:$E,0)))</f>
        <v>Allgemeine Gold-und Silberscheideanstalt A.G.</v>
      </c>
      <c r="D8" s="292" t="str">
        <f ca="1">IF(ISERROR($S8),"",OFFSET('Smelter Reference List'!$C$4,$S8-4,0)&amp;"")</f>
        <v>Allgemeine Gold-und Silberscheideanstalt A.G.</v>
      </c>
      <c r="E8" s="292" t="str">
        <f ca="1">IF(ISERROR($S8),"",OFFSET('Smelter Reference List'!$D$4,$S8-4,0)&amp;"")</f>
        <v>GERMANY</v>
      </c>
      <c r="F8" s="292" t="str">
        <f ca="1">IF(ISERROR($S8),"",OFFSET('Smelter Reference List'!$E$4,$S8-4,0))</f>
        <v>CID000035</v>
      </c>
      <c r="G8" s="292" t="str">
        <f ca="1">IF(C8=$U$4,"Enter smelter details", IF(ISERROR($S8),"",OFFSET('Smelter Reference List'!$F$4,$S8-4,0)))</f>
        <v>CFSI</v>
      </c>
      <c r="H8" s="293">
        <f ca="1">IF(ISERROR($S8),"",OFFSET('Smelter Reference List'!$G$4,$S8-4,0))</f>
        <v>0</v>
      </c>
      <c r="I8" s="294" t="str">
        <f ca="1">IF(ISERROR($S8),"",OFFSET('Smelter Reference List'!$H$4,$S8-4,0))</f>
        <v>Pforzheim</v>
      </c>
      <c r="J8" s="294" t="str">
        <f ca="1">IF(ISERROR($S8),"",OFFSET('Smelter Reference List'!$I$4,$S8-4,0))</f>
        <v>Baden-Württemberg</v>
      </c>
      <c r="K8" s="295"/>
      <c r="L8" s="295"/>
      <c r="M8" s="295"/>
      <c r="N8" s="295"/>
      <c r="O8" s="295"/>
      <c r="P8" s="295"/>
      <c r="Q8" s="296"/>
      <c r="R8" s="227"/>
      <c r="S8" s="228">
        <f ca="1">IF(C8="",NA(),MATCH($B8&amp;$C8,'Smelter Reference List'!$J:$J,0))</f>
        <v>12</v>
      </c>
      <c r="T8" s="229"/>
      <c r="U8" s="229">
        <f t="shared" ca="1" si="2"/>
        <v>0</v>
      </c>
      <c r="V8" s="229"/>
      <c r="W8" s="229"/>
      <c r="Y8" s="223" t="str">
        <f t="shared" ca="1" si="3"/>
        <v>GoldAllgemeine Gold-und Silberscheideanstalt A.G.</v>
      </c>
    </row>
    <row r="9" spans="1:25" s="223" customFormat="1" ht="20.25">
      <c r="A9" s="291" t="s">
        <v>1214</v>
      </c>
      <c r="B9" s="292" t="str">
        <f ca="1">IF(LEN(A9)=0,"",INDEX('Smelter Reference List'!$A:$A,MATCH($A9,'Smelter Reference List'!$E:$E,0)))</f>
        <v>Gold</v>
      </c>
      <c r="C9" s="298" t="str">
        <f ca="1">IF(LEN(A9)=0,"",INDEX('Smelter Reference List'!$C:$C,MATCH($A9,'Smelter Reference List'!$E:$E,0)))</f>
        <v>Almalyk Mining and Metallurgical Complex (AMMC)</v>
      </c>
      <c r="D9" s="292" t="str">
        <f ca="1">IF(ISERROR($S9),"",OFFSET('Smelter Reference List'!$C$4,$S9-4,0)&amp;"")</f>
        <v>Almalyk Mining and Metallurgical Complex (AMMC)</v>
      </c>
      <c r="E9" s="292" t="str">
        <f ca="1">IF(ISERROR($S9),"",OFFSET('Smelter Reference List'!$D$4,$S9-4,0)&amp;"")</f>
        <v>UZBEKISTAN</v>
      </c>
      <c r="F9" s="292" t="str">
        <f ca="1">IF(ISERROR($S9),"",OFFSET('Smelter Reference List'!$E$4,$S9-4,0))</f>
        <v>CID000041</v>
      </c>
      <c r="G9" s="292" t="str">
        <f ca="1">IF(C9=$U$4,"Enter smelter details", IF(ISERROR($S9),"",OFFSET('Smelter Reference List'!$F$4,$S9-4,0)))</f>
        <v>CFSI</v>
      </c>
      <c r="H9" s="293">
        <f ca="1">IF(ISERROR($S9),"",OFFSET('Smelter Reference List'!$G$4,$S9-4,0))</f>
        <v>0</v>
      </c>
      <c r="I9" s="294" t="str">
        <f ca="1">IF(ISERROR($S9),"",OFFSET('Smelter Reference List'!$H$4,$S9-4,0))</f>
        <v>Almalyk</v>
      </c>
      <c r="J9" s="294" t="str">
        <f ca="1">IF(ISERROR($S9),"",OFFSET('Smelter Reference List'!$I$4,$S9-4,0))</f>
        <v>Tashkent Province</v>
      </c>
      <c r="K9" s="295"/>
      <c r="L9" s="295"/>
      <c r="M9" s="295"/>
      <c r="N9" s="295"/>
      <c r="O9" s="295"/>
      <c r="P9" s="295"/>
      <c r="Q9" s="296"/>
      <c r="R9" s="227"/>
      <c r="S9" s="228">
        <f ca="1">IF(C9="",NA(),MATCH($B9&amp;$C9,'Smelter Reference List'!$J:$J,0))</f>
        <v>13</v>
      </c>
      <c r="T9" s="229"/>
      <c r="U9" s="229">
        <f t="shared" ca="1" si="2"/>
        <v>0</v>
      </c>
      <c r="V9" s="229"/>
      <c r="W9" s="229"/>
      <c r="Y9" s="223" t="str">
        <f t="shared" ca="1" si="3"/>
        <v>GoldAlmalyk Mining and Metallurgical Complex (AMMC)</v>
      </c>
    </row>
    <row r="10" spans="1:25" s="223" customFormat="1" ht="20.25">
      <c r="A10" s="291" t="s">
        <v>1215</v>
      </c>
      <c r="B10" s="292" t="str">
        <f ca="1">IF(LEN(A10)=0,"",INDEX('Smelter Reference List'!$A:$A,MATCH($A10,'Smelter Reference List'!$E:$E,0)))</f>
        <v>Gold</v>
      </c>
      <c r="C10" s="298" t="str">
        <f ca="1">IF(LEN(A10)=0,"",INDEX('Smelter Reference List'!$C:$C,MATCH($A10,'Smelter Reference List'!$E:$E,0)))</f>
        <v>AngloGold Ashanti Córrego do Sítio Mineração</v>
      </c>
      <c r="D10" s="292" t="str">
        <f ca="1">IF(ISERROR($S10),"",OFFSET('Smelter Reference List'!$C$4,$S10-4,0)&amp;"")</f>
        <v>AngloGold Ashanti Córrego do Sítio Mineração</v>
      </c>
      <c r="E10" s="292" t="str">
        <f ca="1">IF(ISERROR($S10),"",OFFSET('Smelter Reference List'!$D$4,$S10-4,0)&amp;"")</f>
        <v>BRAZIL</v>
      </c>
      <c r="F10" s="292" t="str">
        <f ca="1">IF(ISERROR($S10),"",OFFSET('Smelter Reference List'!$E$4,$S10-4,0))</f>
        <v>CID000058</v>
      </c>
      <c r="G10" s="292" t="str">
        <f ca="1">IF(C10=$U$4,"Enter smelter details", IF(ISERROR($S10),"",OFFSET('Smelter Reference List'!$F$4,$S10-4,0)))</f>
        <v>CFSI</v>
      </c>
      <c r="H10" s="293">
        <f ca="1">IF(ISERROR($S10),"",OFFSET('Smelter Reference List'!$G$4,$S10-4,0))</f>
        <v>0</v>
      </c>
      <c r="I10" s="294" t="str">
        <f ca="1">IF(ISERROR($S10),"",OFFSET('Smelter Reference List'!$H$4,$S10-4,0))</f>
        <v>Nova Lima</v>
      </c>
      <c r="J10" s="294" t="str">
        <f ca="1">IF(ISERROR($S10),"",OFFSET('Smelter Reference List'!$I$4,$S10-4,0))</f>
        <v>Minas Gerais</v>
      </c>
      <c r="K10" s="295"/>
      <c r="L10" s="295"/>
      <c r="M10" s="295"/>
      <c r="N10" s="295"/>
      <c r="O10" s="295"/>
      <c r="P10" s="295"/>
      <c r="Q10" s="296"/>
      <c r="R10" s="227"/>
      <c r="S10" s="228">
        <f ca="1">IF(C10="",NA(),MATCH($B10&amp;$C10,'Smelter Reference List'!$J:$J,0))</f>
        <v>15</v>
      </c>
      <c r="T10" s="229"/>
      <c r="U10" s="229">
        <f t="shared" ca="1" si="2"/>
        <v>0</v>
      </c>
      <c r="V10" s="229"/>
      <c r="W10" s="229"/>
      <c r="Y10" s="223" t="str">
        <f t="shared" ca="1" si="3"/>
        <v>GoldAngloGold Ashanti Córrego do Sítio Mineração</v>
      </c>
    </row>
    <row r="11" spans="1:25" s="223" customFormat="1" ht="20.25">
      <c r="A11" s="291" t="s">
        <v>1216</v>
      </c>
      <c r="B11" s="292" t="str">
        <f ca="1">IF(LEN(A11)=0,"",INDEX('Smelter Reference List'!$A:$A,MATCH($A11,'Smelter Reference List'!$E:$E,0)))</f>
        <v>Gold</v>
      </c>
      <c r="C11" s="298" t="str">
        <f ca="1">IF(LEN(A11)=0,"",INDEX('Smelter Reference List'!$C:$C,MATCH($A11,'Smelter Reference List'!$E:$E,0)))</f>
        <v>Argor-Heraeus S.A.</v>
      </c>
      <c r="D11" s="292" t="str">
        <f ca="1">IF(ISERROR($S11),"",OFFSET('Smelter Reference List'!$C$4,$S11-4,0)&amp;"")</f>
        <v>Argor-Heraeus S.A.</v>
      </c>
      <c r="E11" s="292" t="str">
        <f ca="1">IF(ISERROR($S11),"",OFFSET('Smelter Reference List'!$D$4,$S11-4,0)&amp;"")</f>
        <v>SWITZERLAND</v>
      </c>
      <c r="F11" s="292" t="str">
        <f ca="1">IF(ISERROR($S11),"",OFFSET('Smelter Reference List'!$E$4,$S11-4,0))</f>
        <v>CID000077</v>
      </c>
      <c r="G11" s="292" t="str">
        <f ca="1">IF(C11=$U$4,"Enter smelter details", IF(ISERROR($S11),"",OFFSET('Smelter Reference List'!$F$4,$S11-4,0)))</f>
        <v>CFSI</v>
      </c>
      <c r="H11" s="293">
        <f ca="1">IF(ISERROR($S11),"",OFFSET('Smelter Reference List'!$G$4,$S11-4,0))</f>
        <v>0</v>
      </c>
      <c r="I11" s="294" t="str">
        <f ca="1">IF(ISERROR($S11),"",OFFSET('Smelter Reference List'!$H$4,$S11-4,0))</f>
        <v>Mendrisio</v>
      </c>
      <c r="J11" s="294" t="str">
        <f ca="1">IF(ISERROR($S11),"",OFFSET('Smelter Reference List'!$I$4,$S11-4,0))</f>
        <v>Ticino</v>
      </c>
      <c r="K11" s="295"/>
      <c r="L11" s="295"/>
      <c r="M11" s="295"/>
      <c r="N11" s="295"/>
      <c r="O11" s="295"/>
      <c r="P11" s="295"/>
      <c r="Q11" s="296"/>
      <c r="R11" s="227"/>
      <c r="S11" s="228">
        <f ca="1">IF(C11="",NA(),MATCH($B11&amp;$C11,'Smelter Reference List'!$J:$J,0))</f>
        <v>18</v>
      </c>
      <c r="T11" s="229"/>
      <c r="U11" s="229">
        <f t="shared" ca="1" si="2"/>
        <v>0</v>
      </c>
      <c r="V11" s="229"/>
      <c r="W11" s="229"/>
      <c r="Y11" s="223" t="str">
        <f t="shared" ca="1" si="3"/>
        <v>GoldArgor-Heraeus S.A.</v>
      </c>
    </row>
    <row r="12" spans="1:25" s="223" customFormat="1" ht="20.25">
      <c r="A12" s="291" t="s">
        <v>1217</v>
      </c>
      <c r="B12" s="292" t="str">
        <f ca="1">IF(LEN(A12)=0,"",INDEX('Smelter Reference List'!$A:$A,MATCH($A12,'Smelter Reference List'!$E:$E,0)))</f>
        <v>Gold</v>
      </c>
      <c r="C12" s="298" t="str">
        <f ca="1">IF(LEN(A12)=0,"",INDEX('Smelter Reference List'!$C:$C,MATCH($A12,'Smelter Reference List'!$E:$E,0)))</f>
        <v>Asahi Pretec Corp.</v>
      </c>
      <c r="D12" s="292" t="str">
        <f ca="1">IF(ISERROR($S12),"",OFFSET('Smelter Reference List'!$C$4,$S12-4,0)&amp;"")</f>
        <v>Asahi Pretec Corp.</v>
      </c>
      <c r="E12" s="292" t="str">
        <f ca="1">IF(ISERROR($S12),"",OFFSET('Smelter Reference List'!$D$4,$S12-4,0)&amp;"")</f>
        <v>JAPAN</v>
      </c>
      <c r="F12" s="292" t="str">
        <f ca="1">IF(ISERROR($S12),"",OFFSET('Smelter Reference List'!$E$4,$S12-4,0))</f>
        <v>CID000082</v>
      </c>
      <c r="G12" s="292" t="str">
        <f ca="1">IF(C12=$U$4,"Enter smelter details", IF(ISERROR($S12),"",OFFSET('Smelter Reference List'!$F$4,$S12-4,0)))</f>
        <v>CFSI</v>
      </c>
      <c r="H12" s="293">
        <f ca="1">IF(ISERROR($S12),"",OFFSET('Smelter Reference List'!$G$4,$S12-4,0))</f>
        <v>0</v>
      </c>
      <c r="I12" s="294" t="str">
        <f ca="1">IF(ISERROR($S12),"",OFFSET('Smelter Reference List'!$H$4,$S12-4,0))</f>
        <v>Kobe</v>
      </c>
      <c r="J12" s="294" t="str">
        <f ca="1">IF(ISERROR($S12),"",OFFSET('Smelter Reference List'!$I$4,$S12-4,0))</f>
        <v>Hyogo</v>
      </c>
      <c r="K12" s="295"/>
      <c r="L12" s="295"/>
      <c r="M12" s="295"/>
      <c r="N12" s="295"/>
      <c r="O12" s="295"/>
      <c r="P12" s="295"/>
      <c r="Q12" s="296"/>
      <c r="R12" s="227"/>
      <c r="S12" s="228">
        <f ca="1">IF(C12="",NA(),MATCH($B12&amp;$C12,'Smelter Reference List'!$J:$J,0))</f>
        <v>19</v>
      </c>
      <c r="T12" s="229"/>
      <c r="U12" s="229">
        <f t="shared" ca="1" si="2"/>
        <v>0</v>
      </c>
      <c r="V12" s="229"/>
      <c r="W12" s="229"/>
      <c r="Y12" s="223" t="str">
        <f t="shared" ca="1" si="3"/>
        <v>GoldAsahi Pretec Corp.</v>
      </c>
    </row>
    <row r="13" spans="1:25" s="223" customFormat="1" ht="20.25">
      <c r="A13" s="291" t="s">
        <v>1218</v>
      </c>
      <c r="B13" s="292" t="str">
        <f ca="1">IF(LEN(A13)=0,"",INDEX('Smelter Reference List'!$A:$A,MATCH($A13,'Smelter Reference List'!$E:$E,0)))</f>
        <v>Gold</v>
      </c>
      <c r="C13" s="298" t="str">
        <f ca="1">IF(LEN(A13)=0,"",INDEX('Smelter Reference List'!$C:$C,MATCH($A13,'Smelter Reference List'!$E:$E,0)))</f>
        <v>Asaka Riken Co., Ltd.</v>
      </c>
      <c r="D13" s="292" t="str">
        <f ca="1">IF(ISERROR($S13),"",OFFSET('Smelter Reference List'!$C$4,$S13-4,0)&amp;"")</f>
        <v>Asaka Riken Co., Ltd.</v>
      </c>
      <c r="E13" s="292" t="str">
        <f ca="1">IF(ISERROR($S13),"",OFFSET('Smelter Reference List'!$D$4,$S13-4,0)&amp;"")</f>
        <v>JAPAN</v>
      </c>
      <c r="F13" s="292" t="str">
        <f ca="1">IF(ISERROR($S13),"",OFFSET('Smelter Reference List'!$E$4,$S13-4,0))</f>
        <v>CID000090</v>
      </c>
      <c r="G13" s="292" t="str">
        <f ca="1">IF(C13=$U$4,"Enter smelter details", IF(ISERROR($S13),"",OFFSET('Smelter Reference List'!$F$4,$S13-4,0)))</f>
        <v>CFSI</v>
      </c>
      <c r="H13" s="293">
        <f ca="1">IF(ISERROR($S13),"",OFFSET('Smelter Reference List'!$G$4,$S13-4,0))</f>
        <v>0</v>
      </c>
      <c r="I13" s="294" t="str">
        <f ca="1">IF(ISERROR($S13),"",OFFSET('Smelter Reference List'!$H$4,$S13-4,0))</f>
        <v>Tamura</v>
      </c>
      <c r="J13" s="294" t="str">
        <f ca="1">IF(ISERROR($S13),"",OFFSET('Smelter Reference List'!$I$4,$S13-4,0))</f>
        <v>Fukushima</v>
      </c>
      <c r="K13" s="295"/>
      <c r="L13" s="295"/>
      <c r="M13" s="295"/>
      <c r="N13" s="295"/>
      <c r="O13" s="295"/>
      <c r="P13" s="295"/>
      <c r="Q13" s="296"/>
      <c r="R13" s="227"/>
      <c r="S13" s="228">
        <f ca="1">IF(C13="",NA(),MATCH($B13&amp;$C13,'Smelter Reference List'!$J:$J,0))</f>
        <v>22</v>
      </c>
      <c r="T13" s="229"/>
      <c r="U13" s="229">
        <f t="shared" ca="1" si="2"/>
        <v>0</v>
      </c>
      <c r="V13" s="229"/>
      <c r="W13" s="229"/>
      <c r="Y13" s="223" t="str">
        <f t="shared" ca="1" si="3"/>
        <v>GoldAsaka Riken Co., Ltd.</v>
      </c>
    </row>
    <row r="14" spans="1:25" s="223" customFormat="1" ht="20.25">
      <c r="A14" s="291" t="s">
        <v>1219</v>
      </c>
      <c r="B14" s="292" t="str">
        <f ca="1">IF(LEN(A14)=0,"",INDEX('Smelter Reference List'!$A:$A,MATCH($A14,'Smelter Reference List'!$E:$E,0)))</f>
        <v>Gold</v>
      </c>
      <c r="C14" s="298" t="str">
        <f ca="1">IF(LEN(A14)=0,"",INDEX('Smelter Reference List'!$C:$C,MATCH($A14,'Smelter Reference List'!$E:$E,0)))</f>
        <v>Atasay Kuyumculuk Sanayi Ve Ticaret A.S.</v>
      </c>
      <c r="D14" s="292" t="str">
        <f ca="1">IF(ISERROR($S14),"",OFFSET('Smelter Reference List'!$C$4,$S14-4,0)&amp;"")</f>
        <v>Atasay Kuyumculuk Sanayi Ve Ticaret A.S.</v>
      </c>
      <c r="E14" s="292" t="str">
        <f ca="1">IF(ISERROR($S14),"",OFFSET('Smelter Reference List'!$D$4,$S14-4,0)&amp;"")</f>
        <v>TURKEY</v>
      </c>
      <c r="F14" s="292" t="str">
        <f ca="1">IF(ISERROR($S14),"",OFFSET('Smelter Reference List'!$E$4,$S14-4,0))</f>
        <v>CID000103</v>
      </c>
      <c r="G14" s="292" t="str">
        <f ca="1">IF(C14=$U$4,"Enter smelter details", IF(ISERROR($S14),"",OFFSET('Smelter Reference List'!$F$4,$S14-4,0)))</f>
        <v>CFSI</v>
      </c>
      <c r="H14" s="293">
        <f ca="1">IF(ISERROR($S14),"",OFFSET('Smelter Reference List'!$G$4,$S14-4,0))</f>
        <v>0</v>
      </c>
      <c r="I14" s="294" t="str">
        <f ca="1">IF(ISERROR($S14),"",OFFSET('Smelter Reference List'!$H$4,$S14-4,0))</f>
        <v>Istanbul</v>
      </c>
      <c r="J14" s="294" t="str">
        <f ca="1">IF(ISERROR($S14),"",OFFSET('Smelter Reference List'!$I$4,$S14-4,0))</f>
        <v>Istanbul Province</v>
      </c>
      <c r="K14" s="295"/>
      <c r="L14" s="295"/>
      <c r="M14" s="295"/>
      <c r="N14" s="295"/>
      <c r="O14" s="295"/>
      <c r="P14" s="295"/>
      <c r="Q14" s="296"/>
      <c r="R14" s="227"/>
      <c r="S14" s="228">
        <f ca="1">IF(C14="",NA(),MATCH($B14&amp;$C14,'Smelter Reference List'!$J:$J,0))</f>
        <v>24</v>
      </c>
      <c r="T14" s="229"/>
      <c r="U14" s="229">
        <f t="shared" ca="1" si="2"/>
        <v>0</v>
      </c>
      <c r="V14" s="229"/>
      <c r="W14" s="229"/>
      <c r="Y14" s="223" t="str">
        <f t="shared" ca="1" si="3"/>
        <v>GoldAtasay Kuyumculuk Sanayi Ve Ticaret A.S.</v>
      </c>
    </row>
    <row r="15" spans="1:25" s="223" customFormat="1" ht="20.25">
      <c r="A15" s="291" t="s">
        <v>1385</v>
      </c>
      <c r="B15" s="292" t="str">
        <f ca="1">IF(LEN(A15)=0,"",INDEX('Smelter Reference List'!$A:$A,MATCH($A15,'Smelter Reference List'!$E:$E,0)))</f>
        <v>Tungsten</v>
      </c>
      <c r="C15" s="298" t="str">
        <f ca="1">IF(LEN(A15)=0,"",INDEX('Smelter Reference List'!$C:$C,MATCH($A15,'Smelter Reference List'!$E:$E,0)))</f>
        <v>Kennametal Huntsville</v>
      </c>
      <c r="D15" s="292" t="str">
        <f ca="1">IF(ISERROR($S15),"",OFFSET('Smelter Reference List'!$C$4,$S15-4,0)&amp;"")</f>
        <v>Kennametal Huntsville</v>
      </c>
      <c r="E15" s="292" t="str">
        <f ca="1">IF(ISERROR($S15),"",OFFSET('Smelter Reference List'!$D$4,$S15-4,0)&amp;"")</f>
        <v>UNITED STATES OF AMERICA</v>
      </c>
      <c r="F15" s="292" t="str">
        <f ca="1">IF(ISERROR($S15),"",OFFSET('Smelter Reference List'!$E$4,$S15-4,0))</f>
        <v>CID000105</v>
      </c>
      <c r="G15" s="292" t="str">
        <f ca="1">IF(C15=$U$4,"Enter smelter details", IF(ISERROR($S15),"",OFFSET('Smelter Reference List'!$F$4,$S15-4,0)))</f>
        <v>CFSI</v>
      </c>
      <c r="H15" s="293">
        <f ca="1">IF(ISERROR($S15),"",OFFSET('Smelter Reference List'!$G$4,$S15-4,0))</f>
        <v>0</v>
      </c>
      <c r="I15" s="294" t="str">
        <f ca="1">IF(ISERROR($S15),"",OFFSET('Smelter Reference List'!$H$4,$S15-4,0))</f>
        <v>Huntsville</v>
      </c>
      <c r="J15" s="294" t="str">
        <f ca="1">IF(ISERROR($S15),"",OFFSET('Smelter Reference List'!$I$4,$S15-4,0))</f>
        <v>Alabama</v>
      </c>
      <c r="K15" s="295"/>
      <c r="L15" s="295"/>
      <c r="M15" s="295"/>
      <c r="N15" s="295"/>
      <c r="O15" s="295"/>
      <c r="P15" s="295"/>
      <c r="Q15" s="296"/>
      <c r="R15" s="227"/>
      <c r="S15" s="228">
        <f ca="1">IF(C15="",NA(),MATCH($B15&amp;$C15,'Smelter Reference List'!$J:$J,0))</f>
        <v>508</v>
      </c>
      <c r="T15" s="229"/>
      <c r="U15" s="229">
        <f t="shared" ca="1" si="2"/>
        <v>0</v>
      </c>
      <c r="V15" s="229"/>
      <c r="W15" s="229"/>
      <c r="Y15" s="223" t="str">
        <f t="shared" ca="1" si="3"/>
        <v>TungstenKennametal Huntsville</v>
      </c>
    </row>
    <row r="16" spans="1:25" s="223" customFormat="1" ht="20.25">
      <c r="A16" s="291" t="s">
        <v>1220</v>
      </c>
      <c r="B16" s="292" t="str">
        <f ca="1">IF(LEN(A16)=0,"",INDEX('Smelter Reference List'!$A:$A,MATCH($A16,'Smelter Reference List'!$E:$E,0)))</f>
        <v>Gold</v>
      </c>
      <c r="C16" s="298" t="str">
        <f ca="1">IF(LEN(A16)=0,"",INDEX('Smelter Reference List'!$C:$C,MATCH($A16,'Smelter Reference List'!$E:$E,0)))</f>
        <v>Aurubis AG</v>
      </c>
      <c r="D16" s="292" t="str">
        <f ca="1">IF(ISERROR($S16),"",OFFSET('Smelter Reference List'!$C$4,$S16-4,0)&amp;"")</f>
        <v>Aurubis AG</v>
      </c>
      <c r="E16" s="292" t="str">
        <f ca="1">IF(ISERROR($S16),"",OFFSET('Smelter Reference List'!$D$4,$S16-4,0)&amp;"")</f>
        <v>GERMANY</v>
      </c>
      <c r="F16" s="292" t="str">
        <f ca="1">IF(ISERROR($S16),"",OFFSET('Smelter Reference List'!$E$4,$S16-4,0))</f>
        <v>CID000113</v>
      </c>
      <c r="G16" s="292" t="str">
        <f ca="1">IF(C16=$U$4,"Enter smelter details", IF(ISERROR($S16),"",OFFSET('Smelter Reference List'!$F$4,$S16-4,0)))</f>
        <v>CFSI</v>
      </c>
      <c r="H16" s="293">
        <f ca="1">IF(ISERROR($S16),"",OFFSET('Smelter Reference List'!$G$4,$S16-4,0))</f>
        <v>0</v>
      </c>
      <c r="I16" s="294" t="str">
        <f ca="1">IF(ISERROR($S16),"",OFFSET('Smelter Reference List'!$H$4,$S16-4,0))</f>
        <v>Hamburg</v>
      </c>
      <c r="J16" s="294" t="str">
        <f ca="1">IF(ISERROR($S16),"",OFFSET('Smelter Reference List'!$I$4,$S16-4,0))</f>
        <v>Hamburg State</v>
      </c>
      <c r="K16" s="295"/>
      <c r="L16" s="295"/>
      <c r="M16" s="295"/>
      <c r="N16" s="295"/>
      <c r="O16" s="295"/>
      <c r="P16" s="295"/>
      <c r="Q16" s="296"/>
      <c r="R16" s="227"/>
      <c r="S16" s="228">
        <f ca="1">IF(C16="",NA(),MATCH($B16&amp;$C16,'Smelter Reference List'!$J:$J,0))</f>
        <v>27</v>
      </c>
      <c r="T16" s="229"/>
      <c r="U16" s="229">
        <f t="shared" ca="1" si="2"/>
        <v>0</v>
      </c>
      <c r="V16" s="229"/>
      <c r="W16" s="229"/>
      <c r="Y16" s="223" t="str">
        <f t="shared" ca="1" si="3"/>
        <v>GoldAurubis AG</v>
      </c>
    </row>
    <row r="17" spans="1:25" s="223" customFormat="1" ht="20.25">
      <c r="A17" s="291" t="s">
        <v>1221</v>
      </c>
      <c r="B17" s="292" t="str">
        <f ca="1">IF(LEN(A17)=0,"",INDEX('Smelter Reference List'!$A:$A,MATCH($A17,'Smelter Reference List'!$E:$E,0)))</f>
        <v>Gold</v>
      </c>
      <c r="C17" s="298" t="str">
        <f ca="1">IF(LEN(A17)=0,"",INDEX('Smelter Reference List'!$C:$C,MATCH($A17,'Smelter Reference List'!$E:$E,0)))</f>
        <v>Bangko Sentral ng Pilipinas (Central Bank of the Philippines)</v>
      </c>
      <c r="D17" s="292" t="str">
        <f ca="1">IF(ISERROR($S17),"",OFFSET('Smelter Reference List'!$C$4,$S17-4,0)&amp;"")</f>
        <v>Bangko Sentral ng Pilipinas (Central Bank of the Philippines)</v>
      </c>
      <c r="E17" s="292" t="str">
        <f ca="1">IF(ISERROR($S17),"",OFFSET('Smelter Reference List'!$D$4,$S17-4,0)&amp;"")</f>
        <v>PHILIPPINES</v>
      </c>
      <c r="F17" s="292" t="str">
        <f ca="1">IF(ISERROR($S17),"",OFFSET('Smelter Reference List'!$E$4,$S17-4,0))</f>
        <v>CID000128</v>
      </c>
      <c r="G17" s="292" t="str">
        <f ca="1">IF(C17=$U$4,"Enter smelter details", IF(ISERROR($S17),"",OFFSET('Smelter Reference List'!$F$4,$S17-4,0)))</f>
        <v>CFSI</v>
      </c>
      <c r="H17" s="293">
        <f ca="1">IF(ISERROR($S17),"",OFFSET('Smelter Reference List'!$G$4,$S17-4,0))</f>
        <v>0</v>
      </c>
      <c r="I17" s="294" t="str">
        <f ca="1">IF(ISERROR($S17),"",OFFSET('Smelter Reference List'!$H$4,$S17-4,0))</f>
        <v>Quezon City</v>
      </c>
      <c r="J17" s="294" t="str">
        <f ca="1">IF(ISERROR($S17),"",OFFSET('Smelter Reference List'!$I$4,$S17-4,0))</f>
        <v>Manila</v>
      </c>
      <c r="K17" s="295"/>
      <c r="L17" s="295"/>
      <c r="M17" s="295"/>
      <c r="N17" s="295"/>
      <c r="O17" s="295"/>
      <c r="P17" s="295"/>
      <c r="Q17" s="296"/>
      <c r="R17" s="227"/>
      <c r="S17" s="228">
        <f ca="1">IF(C17="",NA(),MATCH($B17&amp;$C17,'Smelter Reference List'!$J:$J,0))</f>
        <v>29</v>
      </c>
      <c r="T17" s="229"/>
      <c r="U17" s="229">
        <f t="shared" ca="1" si="2"/>
        <v>0</v>
      </c>
      <c r="V17" s="229"/>
      <c r="W17" s="229"/>
      <c r="Y17" s="223" t="str">
        <f t="shared" ca="1" si="3"/>
        <v>GoldBangko Sentral ng Pilipinas (Central Bank of the Philippines)</v>
      </c>
    </row>
    <row r="18" spans="1:25" s="223" customFormat="1" ht="20.25">
      <c r="A18" s="291" t="s">
        <v>1222</v>
      </c>
      <c r="B18" s="292" t="str">
        <f ca="1">IF(LEN(A18)=0,"",INDEX('Smelter Reference List'!$A:$A,MATCH($A18,'Smelter Reference List'!$E:$E,0)))</f>
        <v>Gold</v>
      </c>
      <c r="C18" s="298" t="str">
        <f ca="1">IF(LEN(A18)=0,"",INDEX('Smelter Reference List'!$C:$C,MATCH($A18,'Smelter Reference List'!$E:$E,0)))</f>
        <v>Boliden AB</v>
      </c>
      <c r="D18" s="292" t="str">
        <f ca="1">IF(ISERROR($S18),"",OFFSET('Smelter Reference List'!$C$4,$S18-4,0)&amp;"")</f>
        <v>Boliden AB</v>
      </c>
      <c r="E18" s="292" t="str">
        <f ca="1">IF(ISERROR($S18),"",OFFSET('Smelter Reference List'!$D$4,$S18-4,0)&amp;"")</f>
        <v>SWEDEN</v>
      </c>
      <c r="F18" s="292" t="str">
        <f ca="1">IF(ISERROR($S18),"",OFFSET('Smelter Reference List'!$E$4,$S18-4,0))</f>
        <v>CID000157</v>
      </c>
      <c r="G18" s="292" t="str">
        <f ca="1">IF(C18=$U$4,"Enter smelter details", IF(ISERROR($S18),"",OFFSET('Smelter Reference List'!$F$4,$S18-4,0)))</f>
        <v>CFSI</v>
      </c>
      <c r="H18" s="293">
        <f ca="1">IF(ISERROR($S18),"",OFFSET('Smelter Reference List'!$G$4,$S18-4,0))</f>
        <v>0</v>
      </c>
      <c r="I18" s="294" t="str">
        <f ca="1">IF(ISERROR($S18),"",OFFSET('Smelter Reference List'!$H$4,$S18-4,0))</f>
        <v>Skelleftehamn</v>
      </c>
      <c r="J18" s="294" t="str">
        <f ca="1">IF(ISERROR($S18),"",OFFSET('Smelter Reference List'!$I$4,$S18-4,0))</f>
        <v>Västerbotten</v>
      </c>
      <c r="K18" s="295"/>
      <c r="L18" s="295"/>
      <c r="M18" s="295"/>
      <c r="N18" s="295"/>
      <c r="O18" s="295"/>
      <c r="P18" s="295"/>
      <c r="Q18" s="296"/>
      <c r="R18" s="227"/>
      <c r="S18" s="228">
        <f ca="1">IF(C18="",NA(),MATCH($B18&amp;$C18,'Smelter Reference List'!$J:$J,0))</f>
        <v>30</v>
      </c>
      <c r="T18" s="229"/>
      <c r="U18" s="229">
        <f t="shared" ca="1" si="2"/>
        <v>0</v>
      </c>
      <c r="V18" s="229"/>
      <c r="W18" s="229"/>
      <c r="Y18" s="223" t="str">
        <f t="shared" ca="1" si="3"/>
        <v>GoldBoliden AB</v>
      </c>
    </row>
    <row r="19" spans="1:25" s="223" customFormat="1" ht="20.25">
      <c r="A19" s="291" t="s">
        <v>1224</v>
      </c>
      <c r="B19" s="292" t="str">
        <f ca="1">IF(LEN(A19)=0,"",INDEX('Smelter Reference List'!$A:$A,MATCH($A19,'Smelter Reference List'!$E:$E,0)))</f>
        <v>Gold</v>
      </c>
      <c r="C19" s="298" t="str">
        <f ca="1">IF(LEN(A19)=0,"",INDEX('Smelter Reference List'!$C:$C,MATCH($A19,'Smelter Reference List'!$E:$E,0)))</f>
        <v>C. Hafner GmbH + Co. KG</v>
      </c>
      <c r="D19" s="292" t="str">
        <f ca="1">IF(ISERROR($S19),"",OFFSET('Smelter Reference List'!$C$4,$S19-4,0)&amp;"")</f>
        <v>C. Hafner GmbH + Co. KG</v>
      </c>
      <c r="E19" s="292" t="str">
        <f ca="1">IF(ISERROR($S19),"",OFFSET('Smelter Reference List'!$D$4,$S19-4,0)&amp;"")</f>
        <v>GERMANY</v>
      </c>
      <c r="F19" s="292" t="str">
        <f ca="1">IF(ISERROR($S19),"",OFFSET('Smelter Reference List'!$E$4,$S19-4,0))</f>
        <v>CID000176</v>
      </c>
      <c r="G19" s="292" t="str">
        <f ca="1">IF(C19=$U$4,"Enter smelter details", IF(ISERROR($S19),"",OFFSET('Smelter Reference List'!$F$4,$S19-4,0)))</f>
        <v>CFSI</v>
      </c>
      <c r="H19" s="293">
        <f ca="1">IF(ISERROR($S19),"",OFFSET('Smelter Reference List'!$G$4,$S19-4,0))</f>
        <v>0</v>
      </c>
      <c r="I19" s="294" t="str">
        <f ca="1">IF(ISERROR($S19),"",OFFSET('Smelter Reference List'!$H$4,$S19-4,0))</f>
        <v>Pforzheim</v>
      </c>
      <c r="J19" s="294" t="str">
        <f ca="1">IF(ISERROR($S19),"",OFFSET('Smelter Reference List'!$I$4,$S19-4,0))</f>
        <v>Baden-Württemberg</v>
      </c>
      <c r="K19" s="295"/>
      <c r="L19" s="295"/>
      <c r="M19" s="295"/>
      <c r="N19" s="295"/>
      <c r="O19" s="295"/>
      <c r="P19" s="295"/>
      <c r="Q19" s="296"/>
      <c r="R19" s="227"/>
      <c r="S19" s="228">
        <f ca="1">IF(C19="",NA(),MATCH($B19&amp;$C19,'Smelter Reference List'!$J:$J,0))</f>
        <v>31</v>
      </c>
      <c r="T19" s="229"/>
      <c r="U19" s="229">
        <f t="shared" ca="1" si="2"/>
        <v>0</v>
      </c>
      <c r="V19" s="229"/>
      <c r="W19" s="229"/>
      <c r="Y19" s="223" t="str">
        <f t="shared" ca="1" si="3"/>
        <v>GoldC. Hafner GmbH + Co. KG</v>
      </c>
    </row>
    <row r="20" spans="1:25" s="223" customFormat="1" ht="20.25">
      <c r="A20" s="291" t="s">
        <v>1225</v>
      </c>
      <c r="B20" s="292" t="str">
        <f ca="1">IF(LEN(A20)=0,"",INDEX('Smelter Reference List'!$A:$A,MATCH($A20,'Smelter Reference List'!$E:$E,0)))</f>
        <v>Gold</v>
      </c>
      <c r="C20" s="298" t="str">
        <f ca="1">IF(LEN(A20)=0,"",INDEX('Smelter Reference List'!$C:$C,MATCH($A20,'Smelter Reference List'!$E:$E,0)))</f>
        <v>Caridad</v>
      </c>
      <c r="D20" s="292" t="str">
        <f ca="1">IF(ISERROR($S20),"",OFFSET('Smelter Reference List'!$C$4,$S20-4,0)&amp;"")</f>
        <v>Caridad</v>
      </c>
      <c r="E20" s="292" t="str">
        <f ca="1">IF(ISERROR($S20),"",OFFSET('Smelter Reference List'!$D$4,$S20-4,0)&amp;"")</f>
        <v>MEXICO</v>
      </c>
      <c r="F20" s="292" t="str">
        <f ca="1">IF(ISERROR($S20),"",OFFSET('Smelter Reference List'!$E$4,$S20-4,0))</f>
        <v>CID000180</v>
      </c>
      <c r="G20" s="292" t="str">
        <f ca="1">IF(C20=$U$4,"Enter smelter details", IF(ISERROR($S20),"",OFFSET('Smelter Reference List'!$F$4,$S20-4,0)))</f>
        <v>CFSI</v>
      </c>
      <c r="H20" s="293">
        <f ca="1">IF(ISERROR($S20),"",OFFSET('Smelter Reference List'!$G$4,$S20-4,0))</f>
        <v>0</v>
      </c>
      <c r="I20" s="294" t="str">
        <f ca="1">IF(ISERROR($S20),"",OFFSET('Smelter Reference List'!$H$4,$S20-4,0))</f>
        <v>Nacozari</v>
      </c>
      <c r="J20" s="294" t="str">
        <f ca="1">IF(ISERROR($S20),"",OFFSET('Smelter Reference List'!$I$4,$S20-4,0))</f>
        <v>Sonora</v>
      </c>
      <c r="K20" s="295"/>
      <c r="L20" s="295"/>
      <c r="M20" s="295"/>
      <c r="N20" s="295"/>
      <c r="O20" s="295"/>
      <c r="P20" s="295"/>
      <c r="Q20" s="296"/>
      <c r="R20" s="227"/>
      <c r="S20" s="228">
        <f ca="1">IF(C20="",NA(),MATCH($B20&amp;$C20,'Smelter Reference List'!$J:$J,0))</f>
        <v>32</v>
      </c>
      <c r="T20" s="229"/>
      <c r="U20" s="229">
        <f t="shared" ca="1" si="2"/>
        <v>0</v>
      </c>
      <c r="V20" s="229"/>
      <c r="W20" s="229"/>
      <c r="Y20" s="223" t="str">
        <f t="shared" ca="1" si="3"/>
        <v>GoldCaridad</v>
      </c>
    </row>
    <row r="21" spans="1:25" s="223" customFormat="1" ht="20.25">
      <c r="A21" s="291" t="s">
        <v>1226</v>
      </c>
      <c r="B21" s="292" t="str">
        <f ca="1">IF(LEN(A21)=0,"",INDEX('Smelter Reference List'!$A:$A,MATCH($A21,'Smelter Reference List'!$E:$E,0)))</f>
        <v>Gold</v>
      </c>
      <c r="C21" s="298" t="str">
        <f ca="1">IF(LEN(A21)=0,"",INDEX('Smelter Reference List'!$C:$C,MATCH($A21,'Smelter Reference List'!$E:$E,0)))</f>
        <v>CCR Refinery - Glencore Canada Corporation</v>
      </c>
      <c r="D21" s="292" t="str">
        <f ca="1">IF(ISERROR($S21),"",OFFSET('Smelter Reference List'!$C$4,$S21-4,0)&amp;"")</f>
        <v>CCR Refinery - Glencore Canada Corporation</v>
      </c>
      <c r="E21" s="292" t="str">
        <f ca="1">IF(ISERROR($S21),"",OFFSET('Smelter Reference List'!$D$4,$S21-4,0)&amp;"")</f>
        <v>CANADA</v>
      </c>
      <c r="F21" s="292" t="str">
        <f ca="1">IF(ISERROR($S21),"",OFFSET('Smelter Reference List'!$E$4,$S21-4,0))</f>
        <v>CID000185</v>
      </c>
      <c r="G21" s="292" t="str">
        <f ca="1">IF(C21=$U$4,"Enter smelter details", IF(ISERROR($S21),"",OFFSET('Smelter Reference List'!$F$4,$S21-4,0)))</f>
        <v>CFSI</v>
      </c>
      <c r="H21" s="293">
        <f ca="1">IF(ISERROR($S21),"",OFFSET('Smelter Reference List'!$G$4,$S21-4,0))</f>
        <v>0</v>
      </c>
      <c r="I21" s="294" t="str">
        <f ca="1">IF(ISERROR($S21),"",OFFSET('Smelter Reference List'!$H$4,$S21-4,0))</f>
        <v>Montréal</v>
      </c>
      <c r="J21" s="294" t="str">
        <f ca="1">IF(ISERROR($S21),"",OFFSET('Smelter Reference List'!$I$4,$S21-4,0))</f>
        <v>Quebec</v>
      </c>
      <c r="K21" s="295"/>
      <c r="L21" s="295"/>
      <c r="M21" s="295"/>
      <c r="N21" s="295"/>
      <c r="O21" s="295"/>
      <c r="P21" s="295"/>
      <c r="Q21" s="296"/>
      <c r="R21" s="227"/>
      <c r="S21" s="228">
        <f ca="1">IF(C21="",NA(),MATCH($B21&amp;$C21,'Smelter Reference List'!$J:$J,0))</f>
        <v>34</v>
      </c>
      <c r="T21" s="229"/>
      <c r="U21" s="229">
        <f t="shared" ca="1" si="2"/>
        <v>0</v>
      </c>
      <c r="V21" s="229"/>
      <c r="W21" s="229"/>
      <c r="Y21" s="223" t="str">
        <f t="shared" ca="1" si="3"/>
        <v>GoldCCR Refinery - Glencore Canada Corporation</v>
      </c>
    </row>
    <row r="22" spans="1:25" s="223" customFormat="1" ht="20.25">
      <c r="A22" s="291" t="s">
        <v>1227</v>
      </c>
      <c r="B22" s="292" t="str">
        <f ca="1">IF(LEN(A22)=0,"",INDEX('Smelter Reference List'!$A:$A,MATCH($A22,'Smelter Reference List'!$E:$E,0)))</f>
        <v>Gold</v>
      </c>
      <c r="C22" s="298" t="str">
        <f ca="1">IF(LEN(A22)=0,"",INDEX('Smelter Reference List'!$C:$C,MATCH($A22,'Smelter Reference List'!$E:$E,0)))</f>
        <v>Cendres + Métaux S.A.</v>
      </c>
      <c r="D22" s="292" t="str">
        <f ca="1">IF(ISERROR($S22),"",OFFSET('Smelter Reference List'!$C$4,$S22-4,0)&amp;"")</f>
        <v>Cendres + Métaux S.A.</v>
      </c>
      <c r="E22" s="292" t="str">
        <f ca="1">IF(ISERROR($S22),"",OFFSET('Smelter Reference List'!$D$4,$S22-4,0)&amp;"")</f>
        <v>SWITZERLAND</v>
      </c>
      <c r="F22" s="292" t="str">
        <f ca="1">IF(ISERROR($S22),"",OFFSET('Smelter Reference List'!$E$4,$S22-4,0))</f>
        <v>CID000189</v>
      </c>
      <c r="G22" s="292" t="str">
        <f ca="1">IF(C22=$U$4,"Enter smelter details", IF(ISERROR($S22),"",OFFSET('Smelter Reference List'!$F$4,$S22-4,0)))</f>
        <v>CFSI</v>
      </c>
      <c r="H22" s="293">
        <f ca="1">IF(ISERROR($S22),"",OFFSET('Smelter Reference List'!$G$4,$S22-4,0))</f>
        <v>0</v>
      </c>
      <c r="I22" s="294" t="str">
        <f ca="1">IF(ISERROR($S22),"",OFFSET('Smelter Reference List'!$H$4,$S22-4,0))</f>
        <v>Biel-Bienne</v>
      </c>
      <c r="J22" s="294" t="str">
        <f ca="1">IF(ISERROR($S22),"",OFFSET('Smelter Reference List'!$I$4,$S22-4,0))</f>
        <v>Bern</v>
      </c>
      <c r="K22" s="295"/>
      <c r="L22" s="295"/>
      <c r="M22" s="295"/>
      <c r="N22" s="295"/>
      <c r="O22" s="295"/>
      <c r="P22" s="295"/>
      <c r="Q22" s="296"/>
      <c r="R22" s="227"/>
      <c r="S22" s="228">
        <f ca="1">IF(C22="",NA(),MATCH($B22&amp;$C22,'Smelter Reference List'!$J:$J,0))</f>
        <v>36</v>
      </c>
      <c r="T22" s="229"/>
      <c r="U22" s="229">
        <f t="shared" ca="1" si="2"/>
        <v>0</v>
      </c>
      <c r="V22" s="229"/>
      <c r="W22" s="229"/>
      <c r="Y22" s="223" t="str">
        <f t="shared" ca="1" si="3"/>
        <v>GoldCendres + Métaux S.A.</v>
      </c>
    </row>
    <row r="23" spans="1:25" s="223" customFormat="1" ht="20.25">
      <c r="A23" s="291" t="s">
        <v>1312</v>
      </c>
      <c r="B23" s="292" t="str">
        <f ca="1">IF(LEN(A23)=0,"",INDEX('Smelter Reference List'!$A:$A,MATCH($A23,'Smelter Reference List'!$E:$E,0)))</f>
        <v>Gold</v>
      </c>
      <c r="C23" s="298" t="str">
        <f ca="1">IF(LEN(A23)=0,"",INDEX('Smelter Reference List'!$C:$C,MATCH($A23,'Smelter Reference List'!$E:$E,0)))</f>
        <v>Yunnan Copper Industry Co., Ltd.</v>
      </c>
      <c r="D23" s="292" t="str">
        <f ca="1">IF(ISERROR($S23),"",OFFSET('Smelter Reference List'!$C$4,$S23-4,0)&amp;"")</f>
        <v>Yunnan Copper Industry Co., Ltd.</v>
      </c>
      <c r="E23" s="292" t="str">
        <f ca="1">IF(ISERROR($S23),"",OFFSET('Smelter Reference List'!$D$4,$S23-4,0)&amp;"")</f>
        <v>CHINA</v>
      </c>
      <c r="F23" s="292" t="str">
        <f ca="1">IF(ISERROR($S23),"",OFFSET('Smelter Reference List'!$E$4,$S23-4,0))</f>
        <v>CID000197</v>
      </c>
      <c r="G23" s="292" t="str">
        <f ca="1">IF(C23=$U$4,"Enter smelter details", IF(ISERROR($S23),"",OFFSET('Smelter Reference List'!$F$4,$S23-4,0)))</f>
        <v>CFSI</v>
      </c>
      <c r="H23" s="293">
        <f ca="1">IF(ISERROR($S23),"",OFFSET('Smelter Reference List'!$G$4,$S23-4,0))</f>
        <v>0</v>
      </c>
      <c r="I23" s="294" t="str">
        <f ca="1">IF(ISERROR($S23),"",OFFSET('Smelter Reference List'!$H$4,$S23-4,0))</f>
        <v>Kunming</v>
      </c>
      <c r="J23" s="294" t="str">
        <f ca="1">IF(ISERROR($S23),"",OFFSET('Smelter Reference List'!$I$4,$S23-4,0))</f>
        <v>Yunnan</v>
      </c>
      <c r="K23" s="295"/>
      <c r="L23" s="295"/>
      <c r="M23" s="295"/>
      <c r="N23" s="295"/>
      <c r="O23" s="295"/>
      <c r="P23" s="295"/>
      <c r="Q23" s="296"/>
      <c r="R23" s="227"/>
      <c r="S23" s="228">
        <f ca="1">IF(C23="",NA(),MATCH($B23&amp;$C23,'Smelter Reference List'!$J:$J,0))</f>
        <v>231</v>
      </c>
      <c r="T23" s="229"/>
      <c r="U23" s="229">
        <f t="shared" ca="1" si="2"/>
        <v>0</v>
      </c>
      <c r="V23" s="229"/>
      <c r="W23" s="229"/>
      <c r="Y23" s="223" t="str">
        <f t="shared" ca="1" si="3"/>
        <v>GoldYunnan Copper Industry Co., Ltd.</v>
      </c>
    </row>
    <row r="24" spans="1:25" s="223" customFormat="1" ht="20.25">
      <c r="A24" s="291" t="s">
        <v>1315</v>
      </c>
      <c r="B24" s="292" t="str">
        <f ca="1">IF(LEN(A24)=0,"",INDEX('Smelter Reference List'!$A:$A,MATCH($A24,'Smelter Reference List'!$E:$E,0)))</f>
        <v>Tantalum</v>
      </c>
      <c r="C24" s="298" t="str">
        <f ca="1">IF(LEN(A24)=0,"",INDEX('Smelter Reference List'!$C:$C,MATCH($A24,'Smelter Reference List'!$E:$E,0)))</f>
        <v>Changsha South Tantalum Niobium Co., Ltd.</v>
      </c>
      <c r="D24" s="292" t="str">
        <f ca="1">IF(ISERROR($S24),"",OFFSET('Smelter Reference List'!$C$4,$S24-4,0)&amp;"")</f>
        <v>Changsha South Tantalum Niobium Co., Ltd.</v>
      </c>
      <c r="E24" s="292" t="str">
        <f ca="1">IF(ISERROR($S24),"",OFFSET('Smelter Reference List'!$D$4,$S24-4,0)&amp;"")</f>
        <v>CHINA</v>
      </c>
      <c r="F24" s="292" t="str">
        <f ca="1">IF(ISERROR($S24),"",OFFSET('Smelter Reference List'!$E$4,$S24-4,0))</f>
        <v>CID000211</v>
      </c>
      <c r="G24" s="292" t="str">
        <f ca="1">IF(C24=$U$4,"Enter smelter details", IF(ISERROR($S24),"",OFFSET('Smelter Reference List'!$F$4,$S24-4,0)))</f>
        <v>CFSI</v>
      </c>
      <c r="H24" s="293">
        <f ca="1">IF(ISERROR($S24),"",OFFSET('Smelter Reference List'!$G$4,$S24-4,0))</f>
        <v>0</v>
      </c>
      <c r="I24" s="294" t="str">
        <f ca="1">IF(ISERROR($S24),"",OFFSET('Smelter Reference List'!$H$4,$S24-4,0))</f>
        <v>Changsha</v>
      </c>
      <c r="J24" s="294" t="str">
        <f ca="1">IF(ISERROR($S24),"",OFFSET('Smelter Reference List'!$I$4,$S24-4,0))</f>
        <v>Hunan</v>
      </c>
      <c r="K24" s="295"/>
      <c r="L24" s="295"/>
      <c r="M24" s="295"/>
      <c r="N24" s="295"/>
      <c r="O24" s="295"/>
      <c r="P24" s="295"/>
      <c r="Q24" s="296"/>
      <c r="R24" s="227"/>
      <c r="S24" s="228">
        <f ca="1">IF(C24="",NA(),MATCH($B24&amp;$C24,'Smelter Reference List'!$J:$J,0))</f>
        <v>245</v>
      </c>
      <c r="T24" s="229"/>
      <c r="U24" s="229">
        <f t="shared" ca="1" si="2"/>
        <v>0</v>
      </c>
      <c r="V24" s="229"/>
      <c r="W24" s="229"/>
      <c r="Y24" s="223" t="str">
        <f t="shared" ca="1" si="3"/>
        <v>TantalumChangsha South Tantalum Niobium Co., Ltd.</v>
      </c>
    </row>
    <row r="25" spans="1:25" s="223" customFormat="1" ht="20.25">
      <c r="A25" s="291" t="s">
        <v>1386</v>
      </c>
      <c r="B25" s="292" t="str">
        <f ca="1">IF(LEN(A25)=0,"",INDEX('Smelter Reference List'!$A:$A,MATCH($A25,'Smelter Reference List'!$E:$E,0)))</f>
        <v>Tungsten</v>
      </c>
      <c r="C25" s="298" t="str">
        <f ca="1">IF(LEN(A25)=0,"",INDEX('Smelter Reference List'!$C:$C,MATCH($A25,'Smelter Reference List'!$E:$E,0)))</f>
        <v>Guangdong Xianglu Tungsten Co., Ltd.</v>
      </c>
      <c r="D25" s="292" t="str">
        <f ca="1">IF(ISERROR($S25),"",OFFSET('Smelter Reference List'!$C$4,$S25-4,0)&amp;"")</f>
        <v>Guangdong Xianglu Tungsten Co., Ltd.</v>
      </c>
      <c r="E25" s="292" t="str">
        <f ca="1">IF(ISERROR($S25),"",OFFSET('Smelter Reference List'!$D$4,$S25-4,0)&amp;"")</f>
        <v>CHINA</v>
      </c>
      <c r="F25" s="292" t="str">
        <f ca="1">IF(ISERROR($S25),"",OFFSET('Smelter Reference List'!$E$4,$S25-4,0))</f>
        <v>CID000218</v>
      </c>
      <c r="G25" s="292" t="str">
        <f ca="1">IF(C25=$U$4,"Enter smelter details", IF(ISERROR($S25),"",OFFSET('Smelter Reference List'!$F$4,$S25-4,0)))</f>
        <v>CFSI</v>
      </c>
      <c r="H25" s="293">
        <f ca="1">IF(ISERROR($S25),"",OFFSET('Smelter Reference List'!$G$4,$S25-4,0))</f>
        <v>0</v>
      </c>
      <c r="I25" s="294" t="str">
        <f ca="1">IF(ISERROR($S25),"",OFFSET('Smelter Reference List'!$H$4,$S25-4,0))</f>
        <v>Chaozhou</v>
      </c>
      <c r="J25" s="294" t="str">
        <f ca="1">IF(ISERROR($S25),"",OFFSET('Smelter Reference List'!$I$4,$S25-4,0))</f>
        <v>Guangdong</v>
      </c>
      <c r="K25" s="295"/>
      <c r="L25" s="295"/>
      <c r="M25" s="295"/>
      <c r="N25" s="295"/>
      <c r="O25" s="295"/>
      <c r="P25" s="295"/>
      <c r="Q25" s="296"/>
      <c r="R25" s="227"/>
      <c r="S25" s="228">
        <f ca="1">IF(C25="",NA(),MATCH($B25&amp;$C25,'Smelter Reference List'!$J:$J,0))</f>
        <v>487</v>
      </c>
      <c r="T25" s="229"/>
      <c r="U25" s="229">
        <f t="shared" ca="1" si="2"/>
        <v>0</v>
      </c>
      <c r="V25" s="229"/>
      <c r="W25" s="229"/>
      <c r="Y25" s="223" t="str">
        <f t="shared" ca="1" si="3"/>
        <v>TungstenGuangdong Xianglu Tungsten Co., Ltd.</v>
      </c>
    </row>
    <row r="26" spans="1:25" s="223" customFormat="1" ht="20.25">
      <c r="A26" s="291" t="s">
        <v>1228</v>
      </c>
      <c r="B26" s="292" t="str">
        <f ca="1">IF(LEN(A26)=0,"",INDEX('Smelter Reference List'!$A:$A,MATCH($A26,'Smelter Reference List'!$E:$E,0)))</f>
        <v>Gold</v>
      </c>
      <c r="C26" s="298" t="str">
        <f ca="1">IF(LEN(A26)=0,"",INDEX('Smelter Reference List'!$C:$C,MATCH($A26,'Smelter Reference List'!$E:$E,0)))</f>
        <v>Chimet S.p.A.</v>
      </c>
      <c r="D26" s="292" t="str">
        <f ca="1">IF(ISERROR($S26),"",OFFSET('Smelter Reference List'!$C$4,$S26-4,0)&amp;"")</f>
        <v>Chimet S.p.A.</v>
      </c>
      <c r="E26" s="292" t="str">
        <f ca="1">IF(ISERROR($S26),"",OFFSET('Smelter Reference List'!$D$4,$S26-4,0)&amp;"")</f>
        <v>ITALY</v>
      </c>
      <c r="F26" s="292" t="str">
        <f ca="1">IF(ISERROR($S26),"",OFFSET('Smelter Reference List'!$E$4,$S26-4,0))</f>
        <v>CID000233</v>
      </c>
      <c r="G26" s="292" t="str">
        <f ca="1">IF(C26=$U$4,"Enter smelter details", IF(ISERROR($S26),"",OFFSET('Smelter Reference List'!$F$4,$S26-4,0)))</f>
        <v>CFSI</v>
      </c>
      <c r="H26" s="293">
        <f ca="1">IF(ISERROR($S26),"",OFFSET('Smelter Reference List'!$G$4,$S26-4,0))</f>
        <v>0</v>
      </c>
      <c r="I26" s="294" t="str">
        <f ca="1">IF(ISERROR($S26),"",OFFSET('Smelter Reference List'!$H$4,$S26-4,0))</f>
        <v>Arezzo</v>
      </c>
      <c r="J26" s="294" t="str">
        <f ca="1">IF(ISERROR($S26),"",OFFSET('Smelter Reference List'!$I$4,$S26-4,0))</f>
        <v>Tuscany</v>
      </c>
      <c r="K26" s="295"/>
      <c r="L26" s="295"/>
      <c r="M26" s="295"/>
      <c r="N26" s="295"/>
      <c r="O26" s="295"/>
      <c r="P26" s="295"/>
      <c r="Q26" s="296"/>
      <c r="R26" s="227"/>
      <c r="S26" s="228">
        <f ca="1">IF(C26="",NA(),MATCH($B26&amp;$C26,'Smelter Reference List'!$J:$J,0))</f>
        <v>39</v>
      </c>
      <c r="T26" s="229"/>
      <c r="U26" s="229">
        <f t="shared" ca="1" si="2"/>
        <v>0</v>
      </c>
      <c r="V26" s="229"/>
      <c r="W26" s="229"/>
      <c r="Y26" s="223" t="str">
        <f t="shared" ca="1" si="3"/>
        <v>GoldChimet S.p.A.</v>
      </c>
    </row>
    <row r="27" spans="1:25" s="223" customFormat="1" ht="20.25">
      <c r="A27" s="291" t="s">
        <v>1339</v>
      </c>
      <c r="B27" s="292" t="str">
        <f ca="1">IF(LEN(A27)=0,"",INDEX('Smelter Reference List'!$A:$A,MATCH($A27,'Smelter Reference List'!$E:$E,0)))</f>
        <v>Tin</v>
      </c>
      <c r="C27" s="298" t="str">
        <f ca="1">IF(LEN(A27)=0,"",INDEX('Smelter Reference List'!$C:$C,MATCH($A27,'Smelter Reference List'!$E:$E,0)))</f>
        <v>Jiangxi Ketai Advanced Material Co., Ltd.</v>
      </c>
      <c r="D27" s="292" t="str">
        <f ca="1">IF(ISERROR($S27),"",OFFSET('Smelter Reference List'!$C$4,$S27-4,0)&amp;"")</f>
        <v>Jiangxi Ketai Advanced Material Co., Ltd.</v>
      </c>
      <c r="E27" s="292" t="str">
        <f ca="1">IF(ISERROR($S27),"",OFFSET('Smelter Reference List'!$D$4,$S27-4,0)&amp;"")</f>
        <v>CHINA</v>
      </c>
      <c r="F27" s="292" t="str">
        <f ca="1">IF(ISERROR($S27),"",OFFSET('Smelter Reference List'!$E$4,$S27-4,0))</f>
        <v>CID000244</v>
      </c>
      <c r="G27" s="292" t="str">
        <f ca="1">IF(C27=$U$4,"Enter smelter details", IF(ISERROR($S27),"",OFFSET('Smelter Reference List'!$F$4,$S27-4,0)))</f>
        <v>CFSI</v>
      </c>
      <c r="H27" s="293">
        <f ca="1">IF(ISERROR($S27),"",OFFSET('Smelter Reference List'!$G$4,$S27-4,0))</f>
        <v>0</v>
      </c>
      <c r="I27" s="294" t="str">
        <f ca="1">IF(ISERROR($S27),"",OFFSET('Smelter Reference List'!$H$4,$S27-4,0))</f>
        <v>Yichun</v>
      </c>
      <c r="J27" s="294" t="str">
        <f ca="1">IF(ISERROR($S27),"",OFFSET('Smelter Reference List'!$I$4,$S27-4,0))</f>
        <v>Jiangxi</v>
      </c>
      <c r="K27" s="295"/>
      <c r="L27" s="295"/>
      <c r="M27" s="295"/>
      <c r="N27" s="295"/>
      <c r="O27" s="295"/>
      <c r="P27" s="295"/>
      <c r="Q27" s="296"/>
      <c r="R27" s="227"/>
      <c r="S27" s="228">
        <f ca="1">IF(C27="",NA(),MATCH($B27&amp;$C27,'Smelter Reference List'!$J:$J,0))</f>
        <v>372</v>
      </c>
      <c r="T27" s="229"/>
      <c r="U27" s="229">
        <f t="shared" ca="1" si="2"/>
        <v>0</v>
      </c>
      <c r="V27" s="229"/>
      <c r="W27" s="229"/>
      <c r="Y27" s="223" t="str">
        <f t="shared" ca="1" si="3"/>
        <v>TinJiangxi Ketai Advanced Material Co., Ltd.</v>
      </c>
    </row>
    <row r="28" spans="1:25" s="223" customFormat="1" ht="20.25">
      <c r="A28" s="291" t="s">
        <v>1387</v>
      </c>
      <c r="B28" s="292" t="str">
        <f ca="1">IF(LEN(A28)=0,"",INDEX('Smelter Reference List'!$A:$A,MATCH($A28,'Smelter Reference List'!$E:$E,0)))</f>
        <v>Tungsten</v>
      </c>
      <c r="C28" s="298" t="str">
        <f ca="1">IF(LEN(A28)=0,"",INDEX('Smelter Reference List'!$C:$C,MATCH($A28,'Smelter Reference List'!$E:$E,0)))</f>
        <v>Chongyi Zhangyuan Tungsten Co., Ltd.</v>
      </c>
      <c r="D28" s="292" t="str">
        <f ca="1">IF(ISERROR($S28),"",OFFSET('Smelter Reference List'!$C$4,$S28-4,0)&amp;"")</f>
        <v>Chongyi Zhangyuan Tungsten Co., Ltd.</v>
      </c>
      <c r="E28" s="292" t="str">
        <f ca="1">IF(ISERROR($S28),"",OFFSET('Smelter Reference List'!$D$4,$S28-4,0)&amp;"")</f>
        <v>CHINA</v>
      </c>
      <c r="F28" s="292" t="str">
        <f ca="1">IF(ISERROR($S28),"",OFFSET('Smelter Reference List'!$E$4,$S28-4,0))</f>
        <v>CID000258</v>
      </c>
      <c r="G28" s="292" t="str">
        <f ca="1">IF(C28=$U$4,"Enter smelter details", IF(ISERROR($S28),"",OFFSET('Smelter Reference List'!$F$4,$S28-4,0)))</f>
        <v>CFSI</v>
      </c>
      <c r="H28" s="293">
        <f ca="1">IF(ISERROR($S28),"",OFFSET('Smelter Reference List'!$G$4,$S28-4,0))</f>
        <v>0</v>
      </c>
      <c r="I28" s="294" t="str">
        <f ca="1">IF(ISERROR($S28),"",OFFSET('Smelter Reference List'!$H$4,$S28-4,0))</f>
        <v>Ganzhou</v>
      </c>
      <c r="J28" s="294" t="str">
        <f ca="1">IF(ISERROR($S28),"",OFFSET('Smelter Reference List'!$I$4,$S28-4,0))</f>
        <v>Jiangxi</v>
      </c>
      <c r="K28" s="295"/>
      <c r="L28" s="295"/>
      <c r="M28" s="295"/>
      <c r="N28" s="295"/>
      <c r="O28" s="295"/>
      <c r="P28" s="295"/>
      <c r="Q28" s="296"/>
      <c r="R28" s="227"/>
      <c r="S28" s="228">
        <f ca="1">IF(C28="",NA(),MATCH($B28&amp;$C28,'Smelter Reference List'!$J:$J,0))</f>
        <v>477</v>
      </c>
      <c r="T28" s="229"/>
      <c r="U28" s="229">
        <f t="shared" ca="1" si="2"/>
        <v>0</v>
      </c>
      <c r="V28" s="229"/>
      <c r="W28" s="229"/>
      <c r="Y28" s="223" t="str">
        <f t="shared" ca="1" si="3"/>
        <v>TungstenChongyi Zhangyuan Tungsten Co., Ltd.</v>
      </c>
    </row>
    <row r="29" spans="1:25" s="223" customFormat="1" ht="20.25">
      <c r="A29" s="291" t="s">
        <v>1229</v>
      </c>
      <c r="B29" s="292" t="str">
        <f ca="1">IF(LEN(A29)=0,"",INDEX('Smelter Reference List'!$A:$A,MATCH($A29,'Smelter Reference List'!$E:$E,0)))</f>
        <v>Gold</v>
      </c>
      <c r="C29" s="298" t="str">
        <f ca="1">IF(LEN(A29)=0,"",INDEX('Smelter Reference List'!$C:$C,MATCH($A29,'Smelter Reference List'!$E:$E,0)))</f>
        <v>Chugai Mining</v>
      </c>
      <c r="D29" s="292" t="str">
        <f ca="1">IF(ISERROR($S29),"",OFFSET('Smelter Reference List'!$C$4,$S29-4,0)&amp;"")</f>
        <v>Chugai Mining</v>
      </c>
      <c r="E29" s="292" t="str">
        <f ca="1">IF(ISERROR($S29),"",OFFSET('Smelter Reference List'!$D$4,$S29-4,0)&amp;"")</f>
        <v>JAPAN</v>
      </c>
      <c r="F29" s="292" t="str">
        <f ca="1">IF(ISERROR($S29),"",OFFSET('Smelter Reference List'!$E$4,$S29-4,0))</f>
        <v>CID000264</v>
      </c>
      <c r="G29" s="292" t="str">
        <f ca="1">IF(C29=$U$4,"Enter smelter details", IF(ISERROR($S29),"",OFFSET('Smelter Reference List'!$F$4,$S29-4,0)))</f>
        <v>CFSI</v>
      </c>
      <c r="H29" s="293">
        <f ca="1">IF(ISERROR($S29),"",OFFSET('Smelter Reference List'!$G$4,$S29-4,0))</f>
        <v>0</v>
      </c>
      <c r="I29" s="294" t="str">
        <f ca="1">IF(ISERROR($S29),"",OFFSET('Smelter Reference List'!$H$4,$S29-4,0))</f>
        <v>Chiyoda</v>
      </c>
      <c r="J29" s="294" t="str">
        <f ca="1">IF(ISERROR($S29),"",OFFSET('Smelter Reference List'!$I$4,$S29-4,0))</f>
        <v>Yunnan</v>
      </c>
      <c r="K29" s="295"/>
      <c r="L29" s="295"/>
      <c r="M29" s="295"/>
      <c r="N29" s="295"/>
      <c r="O29" s="295"/>
      <c r="P29" s="295"/>
      <c r="Q29" s="296"/>
      <c r="R29" s="227"/>
      <c r="S29" s="228">
        <f ca="1">IF(C29="",NA(),MATCH($B29&amp;$C29,'Smelter Reference List'!$J:$J,0))</f>
        <v>42</v>
      </c>
      <c r="T29" s="229"/>
      <c r="U29" s="229">
        <f t="shared" ca="1" si="2"/>
        <v>0</v>
      </c>
      <c r="V29" s="229"/>
      <c r="W29" s="229"/>
      <c r="Y29" s="223" t="str">
        <f t="shared" ca="1" si="3"/>
        <v>GoldChugai Mining</v>
      </c>
    </row>
    <row r="30" spans="1:25" s="223" customFormat="1" ht="20.25">
      <c r="A30" s="291" t="s">
        <v>1340</v>
      </c>
      <c r="B30" s="292" t="str">
        <f ca="1">IF(LEN(A30)=0,"",INDEX('Smelter Reference List'!$A:$A,MATCH($A30,'Smelter Reference List'!$E:$E,0)))</f>
        <v>Tin</v>
      </c>
      <c r="C30" s="298" t="str">
        <f ca="1">IF(LEN(A30)=0,"",INDEX('Smelter Reference List'!$C:$C,MATCH($A30,'Smelter Reference List'!$E:$E,0)))</f>
        <v>CNMC (Guangxi) PGMA Co., Ltd.</v>
      </c>
      <c r="D30" s="292" t="str">
        <f ca="1">IF(ISERROR($S30),"",OFFSET('Smelter Reference List'!$C$4,$S30-4,0)&amp;"")</f>
        <v>CNMC (Guangxi) PGMA Co., Ltd.</v>
      </c>
      <c r="E30" s="292" t="str">
        <f ca="1">IF(ISERROR($S30),"",OFFSET('Smelter Reference List'!$D$4,$S30-4,0)&amp;"")</f>
        <v>CHINA</v>
      </c>
      <c r="F30" s="292" t="str">
        <f ca="1">IF(ISERROR($S30),"",OFFSET('Smelter Reference List'!$E$4,$S30-4,0))</f>
        <v>CID000278</v>
      </c>
      <c r="G30" s="292" t="str">
        <f ca="1">IF(C30=$U$4,"Enter smelter details", IF(ISERROR($S30),"",OFFSET('Smelter Reference List'!$F$4,$S30-4,0)))</f>
        <v>CFSI</v>
      </c>
      <c r="H30" s="293">
        <f ca="1">IF(ISERROR($S30),"",OFFSET('Smelter Reference List'!$G$4,$S30-4,0))</f>
        <v>0</v>
      </c>
      <c r="I30" s="294" t="str">
        <f ca="1">IF(ISERROR($S30),"",OFFSET('Smelter Reference List'!$H$4,$S30-4,0))</f>
        <v>Hezhou</v>
      </c>
      <c r="J30" s="294" t="str">
        <f ca="1">IF(ISERROR($S30),"",OFFSET('Smelter Reference List'!$I$4,$S30-4,0))</f>
        <v>Guangxi</v>
      </c>
      <c r="K30" s="295"/>
      <c r="L30" s="295"/>
      <c r="M30" s="295"/>
      <c r="N30" s="295"/>
      <c r="O30" s="295"/>
      <c r="P30" s="295"/>
      <c r="Q30" s="296"/>
      <c r="R30" s="227"/>
      <c r="S30" s="228">
        <f ca="1">IF(C30="",NA(),MATCH($B30&amp;$C30,'Smelter Reference List'!$J:$J,0))</f>
        <v>327</v>
      </c>
      <c r="T30" s="229"/>
      <c r="U30" s="229">
        <f t="shared" ca="1" si="2"/>
        <v>0</v>
      </c>
      <c r="V30" s="229"/>
      <c r="W30" s="229"/>
      <c r="Y30" s="223" t="str">
        <f t="shared" ca="1" si="3"/>
        <v>TinCNMC (Guangxi) PGMA Co., Ltd.</v>
      </c>
    </row>
    <row r="31" spans="1:25" s="223" customFormat="1" ht="20.25">
      <c r="A31" s="291" t="s">
        <v>1316</v>
      </c>
      <c r="B31" s="292" t="str">
        <f ca="1">IF(LEN(A31)=0,"",INDEX('Smelter Reference List'!$A:$A,MATCH($A31,'Smelter Reference List'!$E:$E,0)))</f>
        <v>Tantalum</v>
      </c>
      <c r="C31" s="298" t="str">
        <f ca="1">IF(LEN(A31)=0,"",INDEX('Smelter Reference List'!$C:$C,MATCH($A31,'Smelter Reference List'!$E:$E,0)))</f>
        <v>Conghua Tantalum and Niobium Smeltry</v>
      </c>
      <c r="D31" s="292" t="str">
        <f ca="1">IF(ISERROR($S31),"",OFFSET('Smelter Reference List'!$C$4,$S31-4,0)&amp;"")</f>
        <v>Conghua Tantalum and Niobium Smeltry</v>
      </c>
      <c r="E31" s="292" t="str">
        <f ca="1">IF(ISERROR($S31),"",OFFSET('Smelter Reference List'!$D$4,$S31-4,0)&amp;"")</f>
        <v>CHINA</v>
      </c>
      <c r="F31" s="292" t="str">
        <f ca="1">IF(ISERROR($S31),"",OFFSET('Smelter Reference List'!$E$4,$S31-4,0))</f>
        <v>CID000291</v>
      </c>
      <c r="G31" s="292" t="str">
        <f ca="1">IF(C31=$U$4,"Enter smelter details", IF(ISERROR($S31),"",OFFSET('Smelter Reference List'!$F$4,$S31-4,0)))</f>
        <v>CFSI</v>
      </c>
      <c r="H31" s="293">
        <f ca="1">IF(ISERROR($S31),"",OFFSET('Smelter Reference List'!$G$4,$S31-4,0))</f>
        <v>0</v>
      </c>
      <c r="I31" s="294" t="str">
        <f ca="1">IF(ISERROR($S31),"",OFFSET('Smelter Reference List'!$H$4,$S31-4,0))</f>
        <v>Conghua</v>
      </c>
      <c r="J31" s="294" t="str">
        <f ca="1">IF(ISERROR($S31),"",OFFSET('Smelter Reference List'!$I$4,$S31-4,0))</f>
        <v>Guangdong</v>
      </c>
      <c r="K31" s="295"/>
      <c r="L31" s="295"/>
      <c r="M31" s="295"/>
      <c r="N31" s="295"/>
      <c r="O31" s="295"/>
      <c r="P31" s="295"/>
      <c r="Q31" s="296"/>
      <c r="R31" s="227"/>
      <c r="S31" s="228">
        <f ca="1">IF(C31="",NA(),MATCH($B31&amp;$C31,'Smelter Reference List'!$J:$J,0))</f>
        <v>247</v>
      </c>
      <c r="T31" s="229"/>
      <c r="U31" s="229">
        <f t="shared" ca="1" si="2"/>
        <v>0</v>
      </c>
      <c r="V31" s="229"/>
      <c r="W31" s="229"/>
      <c r="Y31" s="223" t="str">
        <f t="shared" ca="1" si="3"/>
        <v>TantalumConghua Tantalum and Niobium Smeltry</v>
      </c>
    </row>
    <row r="32" spans="1:25" s="223" customFormat="1" ht="20.25">
      <c r="A32" s="291" t="s">
        <v>1341</v>
      </c>
      <c r="B32" s="292" t="str">
        <f ca="1">IF(LEN(A32)=0,"",INDEX('Smelter Reference List'!$A:$A,MATCH($A32,'Smelter Reference List'!$E:$E,0)))</f>
        <v>Tin</v>
      </c>
      <c r="C32" s="298" t="str">
        <f ca="1">IF(LEN(A32)=0,"",INDEX('Smelter Reference List'!$C:$C,MATCH($A32,'Smelter Reference List'!$E:$E,0)))</f>
        <v>Alpha</v>
      </c>
      <c r="D32" s="292" t="str">
        <f ca="1">IF(ISERROR($S32),"",OFFSET('Smelter Reference List'!$C$4,$S32-4,0)&amp;"")</f>
        <v>Alpha</v>
      </c>
      <c r="E32" s="292" t="str">
        <f ca="1">IF(ISERROR($S32),"",OFFSET('Smelter Reference List'!$D$4,$S32-4,0)&amp;"")</f>
        <v>UNITED STATES OF AMERICA</v>
      </c>
      <c r="F32" s="292" t="str">
        <f ca="1">IF(ISERROR($S32),"",OFFSET('Smelter Reference List'!$E$4,$S32-4,0))</f>
        <v>CID000292</v>
      </c>
      <c r="G32" s="292" t="str">
        <f ca="1">IF(C32=$U$4,"Enter smelter details", IF(ISERROR($S32),"",OFFSET('Smelter Reference List'!$F$4,$S32-4,0)))</f>
        <v>CFSI</v>
      </c>
      <c r="H32" s="293">
        <f ca="1">IF(ISERROR($S32),"",OFFSET('Smelter Reference List'!$G$4,$S32-4,0))</f>
        <v>0</v>
      </c>
      <c r="I32" s="294" t="str">
        <f ca="1">IF(ISERROR($S32),"",OFFSET('Smelter Reference List'!$H$4,$S32-4,0))</f>
        <v>Altoona</v>
      </c>
      <c r="J32" s="294" t="str">
        <f ca="1">IF(ISERROR($S32),"",OFFSET('Smelter Reference List'!$I$4,$S32-4,0))</f>
        <v>Pennsylvania</v>
      </c>
      <c r="K32" s="295"/>
      <c r="L32" s="295"/>
      <c r="M32" s="295"/>
      <c r="N32" s="295"/>
      <c r="O32" s="295"/>
      <c r="P32" s="295"/>
      <c r="Q32" s="296"/>
      <c r="R32" s="227"/>
      <c r="S32" s="228">
        <f ca="1">IF(C32="",NA(),MATCH($B32&amp;$C32,'Smelter Reference List'!$J:$J,0))</f>
        <v>311</v>
      </c>
      <c r="T32" s="229"/>
      <c r="U32" s="229">
        <f t="shared" ca="1" si="2"/>
        <v>0</v>
      </c>
      <c r="V32" s="229"/>
      <c r="W32" s="229"/>
      <c r="Y32" s="223" t="str">
        <f t="shared" ca="1" si="3"/>
        <v>TinAlpha</v>
      </c>
    </row>
    <row r="33" spans="1:25" s="223" customFormat="1" ht="20.25">
      <c r="A33" s="291" t="s">
        <v>1342</v>
      </c>
      <c r="B33" s="292" t="str">
        <f ca="1">IF(LEN(A33)=0,"",INDEX('Smelter Reference List'!$A:$A,MATCH($A33,'Smelter Reference List'!$E:$E,0)))</f>
        <v>Tin</v>
      </c>
      <c r="C33" s="298" t="str">
        <f ca="1">IF(LEN(A33)=0,"",INDEX('Smelter Reference List'!$C:$C,MATCH($A33,'Smelter Reference List'!$E:$E,0)))</f>
        <v>Cooperativa Metalurgica de Rondônia Ltda.</v>
      </c>
      <c r="D33" s="292" t="str">
        <f ca="1">IF(ISERROR($S33),"",OFFSET('Smelter Reference List'!$C$4,$S33-4,0)&amp;"")</f>
        <v>Cooperativa Metalurgica de Rondônia Ltda.</v>
      </c>
      <c r="E33" s="292" t="str">
        <f ca="1">IF(ISERROR($S33),"",OFFSET('Smelter Reference List'!$D$4,$S33-4,0)&amp;"")</f>
        <v>BRAZIL</v>
      </c>
      <c r="F33" s="292" t="str">
        <f ca="1">IF(ISERROR($S33),"",OFFSET('Smelter Reference List'!$E$4,$S33-4,0))</f>
        <v>CID000295</v>
      </c>
      <c r="G33" s="292" t="str">
        <f ca="1">IF(C33=$U$4,"Enter smelter details", IF(ISERROR($S33),"",OFFSET('Smelter Reference List'!$F$4,$S33-4,0)))</f>
        <v>CFSI</v>
      </c>
      <c r="H33" s="293">
        <f ca="1">IF(ISERROR($S33),"",OFFSET('Smelter Reference List'!$G$4,$S33-4,0))</f>
        <v>0</v>
      </c>
      <c r="I33" s="294" t="str">
        <f ca="1">IF(ISERROR($S33),"",OFFSET('Smelter Reference List'!$H$4,$S33-4,0))</f>
        <v>Ariquemes</v>
      </c>
      <c r="J33" s="294" t="str">
        <f ca="1">IF(ISERROR($S33),"",OFFSET('Smelter Reference List'!$I$4,$S33-4,0))</f>
        <v>Rondonia</v>
      </c>
      <c r="K33" s="295"/>
      <c r="L33" s="295"/>
      <c r="M33" s="295"/>
      <c r="N33" s="295"/>
      <c r="O33" s="295"/>
      <c r="P33" s="295"/>
      <c r="Q33" s="296"/>
      <c r="R33" s="227"/>
      <c r="S33" s="228">
        <f ca="1">IF(C33="",NA(),MATCH($B33&amp;$C33,'Smelter Reference List'!$J:$J,0))</f>
        <v>332</v>
      </c>
      <c r="T33" s="229"/>
      <c r="U33" s="229">
        <f t="shared" ca="1" si="2"/>
        <v>0</v>
      </c>
      <c r="V33" s="229"/>
      <c r="W33" s="229"/>
      <c r="Y33" s="223" t="str">
        <f t="shared" ca="1" si="3"/>
        <v>TinCooperativa Metalurgica de Rondônia Ltda.</v>
      </c>
    </row>
    <row r="34" spans="1:25" s="223" customFormat="1" ht="20.25">
      <c r="A34" s="291" t="s">
        <v>2629</v>
      </c>
      <c r="B34" s="292" t="str">
        <f ca="1">IF(LEN(A34)=0,"",INDEX('Smelter Reference List'!$A:$A,MATCH($A34,'Smelter Reference List'!$E:$E,0)))</f>
        <v>Tin</v>
      </c>
      <c r="C34" s="298" t="str">
        <f ca="1">IF(LEN(A34)=0,"",INDEX('Smelter Reference List'!$C:$C,MATCH($A34,'Smelter Reference List'!$E:$E,0)))</f>
        <v>CV Gita Pesona</v>
      </c>
      <c r="D34" s="292" t="str">
        <f ca="1">IF(ISERROR($S34),"",OFFSET('Smelter Reference List'!$C$4,$S34-4,0)&amp;"")</f>
        <v>CV Gita Pesona</v>
      </c>
      <c r="E34" s="292" t="str">
        <f ca="1">IF(ISERROR($S34),"",OFFSET('Smelter Reference List'!$D$4,$S34-4,0)&amp;"")</f>
        <v>INDONESIA</v>
      </c>
      <c r="F34" s="292" t="str">
        <f ca="1">IF(ISERROR($S34),"",OFFSET('Smelter Reference List'!$E$4,$S34-4,0))</f>
        <v>CID000306</v>
      </c>
      <c r="G34" s="292" t="str">
        <f ca="1">IF(C34=$U$4,"Enter smelter details", IF(ISERROR($S34),"",OFFSET('Smelter Reference List'!$F$4,$S34-4,0)))</f>
        <v>CFSI</v>
      </c>
      <c r="H34" s="293">
        <f ca="1">IF(ISERROR($S34),"",OFFSET('Smelter Reference List'!$G$4,$S34-4,0))</f>
        <v>0</v>
      </c>
      <c r="I34" s="294" t="str">
        <f ca="1">IF(ISERROR($S34),"",OFFSET('Smelter Reference List'!$H$4,$S34-4,0))</f>
        <v>Sungailiat</v>
      </c>
      <c r="J34" s="294" t="str">
        <f ca="1">IF(ISERROR($S34),"",OFFSET('Smelter Reference List'!$I$4,$S34-4,0))</f>
        <v>Bangka</v>
      </c>
      <c r="K34" s="295"/>
      <c r="L34" s="295"/>
      <c r="M34" s="295"/>
      <c r="N34" s="295"/>
      <c r="O34" s="295"/>
      <c r="P34" s="295"/>
      <c r="Q34" s="296"/>
      <c r="R34" s="227"/>
      <c r="S34" s="228">
        <f ca="1">IF(C34="",NA(),MATCH($B34&amp;$C34,'Smelter Reference List'!$J:$J,0))</f>
        <v>336</v>
      </c>
      <c r="T34" s="229"/>
      <c r="U34" s="229">
        <f t="shared" ca="1" si="2"/>
        <v>0</v>
      </c>
      <c r="V34" s="229"/>
      <c r="W34" s="229"/>
      <c r="Y34" s="223" t="str">
        <f t="shared" ca="1" si="3"/>
        <v>TinCV Gita Pesona</v>
      </c>
    </row>
    <row r="35" spans="1:25" s="223" customFormat="1" ht="20.25">
      <c r="A35" s="291" t="s">
        <v>2630</v>
      </c>
      <c r="B35" s="292" t="str">
        <f ca="1">IF(LEN(A35)=0,"",INDEX('Smelter Reference List'!$A:$A,MATCH($A35,'Smelter Reference List'!$E:$E,0)))</f>
        <v>Tin</v>
      </c>
      <c r="C35" s="298" t="str">
        <f ca="1">IF(LEN(A35)=0,"",INDEX('Smelter Reference List'!$C:$C,MATCH($A35,'Smelter Reference List'!$E:$E,0)))</f>
        <v>PT Justindo</v>
      </c>
      <c r="D35" s="292" t="str">
        <f ca="1">IF(ISERROR($S35),"",OFFSET('Smelter Reference List'!$C$4,$S35-4,0)&amp;"")</f>
        <v>PT Justindo</v>
      </c>
      <c r="E35" s="292" t="str">
        <f ca="1">IF(ISERROR($S35),"",OFFSET('Smelter Reference List'!$D$4,$S35-4,0)&amp;"")</f>
        <v>INDONESIA</v>
      </c>
      <c r="F35" s="292" t="str">
        <f ca="1">IF(ISERROR($S35),"",OFFSET('Smelter Reference List'!$E$4,$S35-4,0))</f>
        <v>CID000307</v>
      </c>
      <c r="G35" s="292" t="str">
        <f ca="1">IF(C35=$U$4,"Enter smelter details", IF(ISERROR($S35),"",OFFSET('Smelter Reference List'!$F$4,$S35-4,0)))</f>
        <v>CFSI</v>
      </c>
      <c r="H35" s="293">
        <f ca="1">IF(ISERROR($S35),"",OFFSET('Smelter Reference List'!$G$4,$S35-4,0))</f>
        <v>0</v>
      </c>
      <c r="I35" s="294" t="str">
        <f ca="1">IF(ISERROR($S35),"",OFFSET('Smelter Reference List'!$H$4,$S35-4,0))</f>
        <v>Kabupaten</v>
      </c>
      <c r="J35" s="294" t="str">
        <f ca="1">IF(ISERROR($S35),"",OFFSET('Smelter Reference List'!$I$4,$S35-4,0))</f>
        <v>Bangka</v>
      </c>
      <c r="K35" s="295"/>
      <c r="L35" s="295"/>
      <c r="M35" s="295"/>
      <c r="N35" s="295"/>
      <c r="O35" s="295"/>
      <c r="P35" s="295"/>
      <c r="Q35" s="296"/>
      <c r="R35" s="227"/>
      <c r="S35" s="228">
        <f ca="1">IF(C35="",NA(),MATCH($B35&amp;$C35,'Smelter Reference List'!$J:$J,0))</f>
        <v>414</v>
      </c>
      <c r="T35" s="229"/>
      <c r="U35" s="229">
        <f t="shared" ca="1" si="2"/>
        <v>0</v>
      </c>
      <c r="V35" s="229"/>
      <c r="W35" s="229"/>
      <c r="Y35" s="223" t="str">
        <f t="shared" ca="1" si="3"/>
        <v>TinPT Justindo</v>
      </c>
    </row>
    <row r="36" spans="1:25" s="223" customFormat="1" ht="20.25">
      <c r="A36" s="291" t="s">
        <v>2631</v>
      </c>
      <c r="B36" s="292" t="str">
        <f ca="1">IF(LEN(A36)=0,"",INDEX('Smelter Reference List'!$A:$A,MATCH($A36,'Smelter Reference List'!$E:$E,0)))</f>
        <v>Tin</v>
      </c>
      <c r="C36" s="298" t="str">
        <f ca="1">IF(LEN(A36)=0,"",INDEX('Smelter Reference List'!$C:$C,MATCH($A36,'Smelter Reference List'!$E:$E,0)))</f>
        <v>PT Aries Kencana Sejahtera</v>
      </c>
      <c r="D36" s="292" t="str">
        <f ca="1">IF(ISERROR($S36),"",OFFSET('Smelter Reference List'!$C$4,$S36-4,0)&amp;"")</f>
        <v>PT Aries Kencana Sejahtera</v>
      </c>
      <c r="E36" s="292" t="str">
        <f ca="1">IF(ISERROR($S36),"",OFFSET('Smelter Reference List'!$D$4,$S36-4,0)&amp;"")</f>
        <v>INDONESIA</v>
      </c>
      <c r="F36" s="292" t="str">
        <f ca="1">IF(ISERROR($S36),"",OFFSET('Smelter Reference List'!$E$4,$S36-4,0))</f>
        <v>CID000309</v>
      </c>
      <c r="G36" s="292" t="str">
        <f ca="1">IF(C36=$U$4,"Enter smelter details", IF(ISERROR($S36),"",OFFSET('Smelter Reference List'!$F$4,$S36-4,0)))</f>
        <v>CFSI</v>
      </c>
      <c r="H36" s="293">
        <f ca="1">IF(ISERROR($S36),"",OFFSET('Smelter Reference List'!$G$4,$S36-4,0))</f>
        <v>0</v>
      </c>
      <c r="I36" s="294" t="str">
        <f ca="1">IF(ISERROR($S36),"",OFFSET('Smelter Reference List'!$H$4,$S36-4,0))</f>
        <v>Pemali</v>
      </c>
      <c r="J36" s="294" t="str">
        <f ca="1">IF(ISERROR($S36),"",OFFSET('Smelter Reference List'!$I$4,$S36-4,0))</f>
        <v>Bangka</v>
      </c>
      <c r="K36" s="295"/>
      <c r="L36" s="295"/>
      <c r="M36" s="295"/>
      <c r="N36" s="295"/>
      <c r="O36" s="295"/>
      <c r="P36" s="295"/>
      <c r="Q36" s="296"/>
      <c r="R36" s="227"/>
      <c r="S36" s="228">
        <f ca="1">IF(C36="",NA(),MATCH($B36&amp;$C36,'Smelter Reference List'!$J:$J,0))</f>
        <v>400</v>
      </c>
      <c r="T36" s="229"/>
      <c r="U36" s="229">
        <f t="shared" ca="1" si="2"/>
        <v>0</v>
      </c>
      <c r="V36" s="229"/>
      <c r="W36" s="229"/>
      <c r="Y36" s="223" t="str">
        <f t="shared" ca="1" si="3"/>
        <v>TinPT Aries Kencana Sejahtera</v>
      </c>
    </row>
    <row r="37" spans="1:25" s="223" customFormat="1" ht="20.25">
      <c r="A37" s="291" t="s">
        <v>1343</v>
      </c>
      <c r="B37" s="292" t="str">
        <f ca="1">IF(LEN(A37)=0,"",INDEX('Smelter Reference List'!$A:$A,MATCH($A37,'Smelter Reference List'!$E:$E,0)))</f>
        <v>Tin</v>
      </c>
      <c r="C37" s="298" t="str">
        <f ca="1">IF(LEN(A37)=0,"",INDEX('Smelter Reference List'!$C:$C,MATCH($A37,'Smelter Reference List'!$E:$E,0)))</f>
        <v>CV Serumpun Sebalai</v>
      </c>
      <c r="D37" s="292" t="str">
        <f ca="1">IF(ISERROR($S37),"",OFFSET('Smelter Reference List'!$C$4,$S37-4,0)&amp;"")</f>
        <v>CV Serumpun Sebalai</v>
      </c>
      <c r="E37" s="292" t="str">
        <f ca="1">IF(ISERROR($S37),"",OFFSET('Smelter Reference List'!$D$4,$S37-4,0)&amp;"")</f>
        <v>INDONESIA</v>
      </c>
      <c r="F37" s="292" t="str">
        <f ca="1">IF(ISERROR($S37),"",OFFSET('Smelter Reference List'!$E$4,$S37-4,0))</f>
        <v>CID000313</v>
      </c>
      <c r="G37" s="292" t="str">
        <f ca="1">IF(C37=$U$4,"Enter smelter details", IF(ISERROR($S37),"",OFFSET('Smelter Reference List'!$F$4,$S37-4,0)))</f>
        <v>CFSI</v>
      </c>
      <c r="H37" s="293">
        <f ca="1">IF(ISERROR($S37),"",OFFSET('Smelter Reference List'!$G$4,$S37-4,0))</f>
        <v>0</v>
      </c>
      <c r="I37" s="294" t="str">
        <f ca="1">IF(ISERROR($S37),"",OFFSET('Smelter Reference List'!$H$4,$S37-4,0))</f>
        <v>Pangkalan</v>
      </c>
      <c r="J37" s="294" t="str">
        <f ca="1">IF(ISERROR($S37),"",OFFSET('Smelter Reference List'!$I$4,$S37-4,0))</f>
        <v>Bangka</v>
      </c>
      <c r="K37" s="295"/>
      <c r="L37" s="295"/>
      <c r="M37" s="295"/>
      <c r="N37" s="295"/>
      <c r="O37" s="295"/>
      <c r="P37" s="295"/>
      <c r="Q37" s="296"/>
      <c r="R37" s="227"/>
      <c r="S37" s="228">
        <f ca="1">IF(C37="",NA(),MATCH($B37&amp;$C37,'Smelter Reference List'!$J:$J,0))</f>
        <v>339</v>
      </c>
      <c r="T37" s="229"/>
      <c r="U37" s="229">
        <f t="shared" ca="1" si="2"/>
        <v>0</v>
      </c>
      <c r="V37" s="229"/>
      <c r="W37" s="229"/>
      <c r="Y37" s="223" t="str">
        <f t="shared" ca="1" si="3"/>
        <v>TinCV Serumpun Sebalai</v>
      </c>
    </row>
    <row r="38" spans="1:25" s="223" customFormat="1" ht="20.25">
      <c r="A38" s="291" t="s">
        <v>1344</v>
      </c>
      <c r="B38" s="292" t="str">
        <f ca="1">IF(LEN(A38)=0,"",INDEX('Smelter Reference List'!$A:$A,MATCH($A38,'Smelter Reference List'!$E:$E,0)))</f>
        <v>Tin</v>
      </c>
      <c r="C38" s="298" t="str">
        <f ca="1">IF(LEN(A38)=0,"",INDEX('Smelter Reference List'!$C:$C,MATCH($A38,'Smelter Reference List'!$E:$E,0)))</f>
        <v>CV United Smelting</v>
      </c>
      <c r="D38" s="292" t="str">
        <f ca="1">IF(ISERROR($S38),"",OFFSET('Smelter Reference List'!$C$4,$S38-4,0)&amp;"")</f>
        <v>CV United Smelting</v>
      </c>
      <c r="E38" s="292" t="str">
        <f ca="1">IF(ISERROR($S38),"",OFFSET('Smelter Reference List'!$D$4,$S38-4,0)&amp;"")</f>
        <v>INDONESIA</v>
      </c>
      <c r="F38" s="292" t="str">
        <f ca="1">IF(ISERROR($S38),"",OFFSET('Smelter Reference List'!$E$4,$S38-4,0))</f>
        <v>CID000315</v>
      </c>
      <c r="G38" s="292" t="str">
        <f ca="1">IF(C38=$U$4,"Enter smelter details", IF(ISERROR($S38),"",OFFSET('Smelter Reference List'!$F$4,$S38-4,0)))</f>
        <v>CFSI</v>
      </c>
      <c r="H38" s="293">
        <f ca="1">IF(ISERROR($S38),"",OFFSET('Smelter Reference List'!$G$4,$S38-4,0))</f>
        <v>0</v>
      </c>
      <c r="I38" s="294" t="str">
        <f ca="1">IF(ISERROR($S38),"",OFFSET('Smelter Reference List'!$H$4,$S38-4,0))</f>
        <v>Pangkal Pinang</v>
      </c>
      <c r="J38" s="294" t="str">
        <f ca="1">IF(ISERROR($S38),"",OFFSET('Smelter Reference List'!$I$4,$S38-4,0))</f>
        <v>Bangka</v>
      </c>
      <c r="K38" s="295"/>
      <c r="L38" s="295"/>
      <c r="M38" s="295"/>
      <c r="N38" s="295"/>
      <c r="O38" s="295"/>
      <c r="P38" s="295"/>
      <c r="Q38" s="296"/>
      <c r="R38" s="227"/>
      <c r="S38" s="228">
        <f ca="1">IF(C38="",NA(),MATCH($B38&amp;$C38,'Smelter Reference List'!$J:$J,0))</f>
        <v>341</v>
      </c>
      <c r="T38" s="229"/>
      <c r="U38" s="229">
        <f t="shared" ca="1" si="2"/>
        <v>0</v>
      </c>
      <c r="V38" s="229"/>
      <c r="W38" s="229"/>
      <c r="Y38" s="223" t="str">
        <f t="shared" ca="1" si="3"/>
        <v>TinCV United Smelting</v>
      </c>
    </row>
    <row r="39" spans="1:25" s="223" customFormat="1" ht="20.25">
      <c r="A39" s="291" t="s">
        <v>1230</v>
      </c>
      <c r="B39" s="292" t="str">
        <f ca="1">IF(LEN(A39)=0,"",INDEX('Smelter Reference List'!$A:$A,MATCH($A39,'Smelter Reference List'!$E:$E,0)))</f>
        <v>Gold</v>
      </c>
      <c r="C39" s="298" t="str">
        <f ca="1">IF(LEN(A39)=0,"",INDEX('Smelter Reference List'!$C:$C,MATCH($A39,'Smelter Reference List'!$E:$E,0)))</f>
        <v>Daejin Indus Co., Ltd.</v>
      </c>
      <c r="D39" s="292" t="str">
        <f ca="1">IF(ISERROR($S39),"",OFFSET('Smelter Reference List'!$C$4,$S39-4,0)&amp;"")</f>
        <v>Daejin Indus Co., Ltd.</v>
      </c>
      <c r="E39" s="292" t="str">
        <f ca="1">IF(ISERROR($S39),"",OFFSET('Smelter Reference List'!$D$4,$S39-4,0)&amp;"")</f>
        <v>KOREA (REPUBLIC OF)</v>
      </c>
      <c r="F39" s="292" t="str">
        <f ca="1">IF(ISERROR($S39),"",OFFSET('Smelter Reference List'!$E$4,$S39-4,0))</f>
        <v>CID000328</v>
      </c>
      <c r="G39" s="292" t="str">
        <f ca="1">IF(C39=$U$4,"Enter smelter details", IF(ISERROR($S39),"",OFFSET('Smelter Reference List'!$F$4,$S39-4,0)))</f>
        <v>CFSI</v>
      </c>
      <c r="H39" s="293">
        <f ca="1">IF(ISERROR($S39),"",OFFSET('Smelter Reference List'!$G$4,$S39-4,0))</f>
        <v>0</v>
      </c>
      <c r="I39" s="294" t="str">
        <f ca="1">IF(ISERROR($S39),"",OFFSET('Smelter Reference List'!$H$4,$S39-4,0))</f>
        <v>Namdong-gu</v>
      </c>
      <c r="J39" s="294" t="str">
        <f ca="1">IF(ISERROR($S39),"",OFFSET('Smelter Reference List'!$I$4,$S39-4,0))</f>
        <v>Incheon</v>
      </c>
      <c r="K39" s="295"/>
      <c r="L39" s="295"/>
      <c r="M39" s="295"/>
      <c r="N39" s="295"/>
      <c r="O39" s="295"/>
      <c r="P39" s="295"/>
      <c r="Q39" s="296"/>
      <c r="R39" s="227"/>
      <c r="S39" s="228">
        <f ca="1">IF(C39="",NA(),MATCH($B39&amp;$C39,'Smelter Reference List'!$J:$J,0))</f>
        <v>43</v>
      </c>
      <c r="T39" s="229"/>
      <c r="U39" s="229">
        <f t="shared" ca="1" si="2"/>
        <v>0</v>
      </c>
      <c r="V39" s="229"/>
      <c r="W39" s="229"/>
      <c r="Y39" s="223" t="str">
        <f t="shared" ca="1" si="3"/>
        <v>GoldDaejin Indus Co., Ltd.</v>
      </c>
    </row>
    <row r="40" spans="1:25" s="223" customFormat="1" ht="20.25">
      <c r="A40" s="291" t="s">
        <v>1232</v>
      </c>
      <c r="B40" s="292" t="str">
        <f ca="1">IF(LEN(A40)=0,"",INDEX('Smelter Reference List'!$A:$A,MATCH($A40,'Smelter Reference List'!$E:$E,0)))</f>
        <v>Gold</v>
      </c>
      <c r="C40" s="298" t="str">
        <f ca="1">IF(LEN(A40)=0,"",INDEX('Smelter Reference List'!$C:$C,MATCH($A40,'Smelter Reference List'!$E:$E,0)))</f>
        <v>Daye Non-Ferrous Metals Mining Ltd.</v>
      </c>
      <c r="D40" s="292" t="str">
        <f ca="1">IF(ISERROR($S40),"",OFFSET('Smelter Reference List'!$C$4,$S40-4,0)&amp;"")</f>
        <v>Daye Non-Ferrous Metals Mining Ltd.</v>
      </c>
      <c r="E40" s="292" t="str">
        <f ca="1">IF(ISERROR($S40),"",OFFSET('Smelter Reference List'!$D$4,$S40-4,0)&amp;"")</f>
        <v>CHINA</v>
      </c>
      <c r="F40" s="292" t="str">
        <f ca="1">IF(ISERROR($S40),"",OFFSET('Smelter Reference List'!$E$4,$S40-4,0))</f>
        <v>CID000343</v>
      </c>
      <c r="G40" s="292" t="str">
        <f ca="1">IF(C40=$U$4,"Enter smelter details", IF(ISERROR($S40),"",OFFSET('Smelter Reference List'!$F$4,$S40-4,0)))</f>
        <v>CFSI</v>
      </c>
      <c r="H40" s="293">
        <f ca="1">IF(ISERROR($S40),"",OFFSET('Smelter Reference List'!$G$4,$S40-4,0))</f>
        <v>0</v>
      </c>
      <c r="I40" s="294" t="str">
        <f ca="1">IF(ISERROR($S40),"",OFFSET('Smelter Reference List'!$H$4,$S40-4,0))</f>
        <v>Huangshi</v>
      </c>
      <c r="J40" s="294" t="str">
        <f ca="1">IF(ISERROR($S40),"",OFFSET('Smelter Reference List'!$I$4,$S40-4,0))</f>
        <v>Huabei</v>
      </c>
      <c r="K40" s="295"/>
      <c r="L40" s="295"/>
      <c r="M40" s="295"/>
      <c r="N40" s="295"/>
      <c r="O40" s="295"/>
      <c r="P40" s="295"/>
      <c r="Q40" s="296"/>
      <c r="R40" s="227"/>
      <c r="S40" s="228">
        <f ca="1">IF(C40="",NA(),MATCH($B40&amp;$C40,'Smelter Reference List'!$J:$J,0))</f>
        <v>45</v>
      </c>
      <c r="T40" s="229"/>
      <c r="U40" s="229">
        <f t="shared" ca="1" si="2"/>
        <v>0</v>
      </c>
      <c r="V40" s="229"/>
      <c r="W40" s="229"/>
      <c r="Y40" s="223" t="str">
        <f t="shared" ca="1" si="3"/>
        <v>GoldDaye Non-Ferrous Metals Mining Ltd.</v>
      </c>
    </row>
    <row r="41" spans="1:25" s="223" customFormat="1" ht="20.25">
      <c r="A41" s="291" t="s">
        <v>1388</v>
      </c>
      <c r="B41" s="292" t="str">
        <f ca="1">IF(LEN(A41)=0,"",INDEX('Smelter Reference List'!$A:$A,MATCH($A41,'Smelter Reference List'!$E:$E,0)))</f>
        <v>Tungsten</v>
      </c>
      <c r="C41" s="298" t="str">
        <f ca="1">IF(LEN(A41)=0,"",INDEX('Smelter Reference List'!$C:$C,MATCH($A41,'Smelter Reference List'!$E:$E,0)))</f>
        <v>Dayu Weiliang Tungsten Co., Ltd.</v>
      </c>
      <c r="D41" s="292" t="str">
        <f ca="1">IF(ISERROR($S41),"",OFFSET('Smelter Reference List'!$C$4,$S41-4,0)&amp;"")</f>
        <v>Dayu Weiliang Tungsten Co., Ltd.</v>
      </c>
      <c r="E41" s="292" t="str">
        <f ca="1">IF(ISERROR($S41),"",OFFSET('Smelter Reference List'!$D$4,$S41-4,0)&amp;"")</f>
        <v>CHINA</v>
      </c>
      <c r="F41" s="292" t="str">
        <f ca="1">IF(ISERROR($S41),"",OFFSET('Smelter Reference List'!$E$4,$S41-4,0))</f>
        <v>CID000345</v>
      </c>
      <c r="G41" s="292" t="str">
        <f ca="1">IF(C41=$U$4,"Enter smelter details", IF(ISERROR($S41),"",OFFSET('Smelter Reference List'!$F$4,$S41-4,0)))</f>
        <v>CFSI</v>
      </c>
      <c r="H41" s="293">
        <f ca="1">IF(ISERROR($S41),"",OFFSET('Smelter Reference List'!$G$4,$S41-4,0))</f>
        <v>0</v>
      </c>
      <c r="I41" s="294" t="str">
        <f ca="1">IF(ISERROR($S41),"",OFFSET('Smelter Reference List'!$H$4,$S41-4,0))</f>
        <v>Ganzhou</v>
      </c>
      <c r="J41" s="294" t="str">
        <f ca="1">IF(ISERROR($S41),"",OFFSET('Smelter Reference List'!$I$4,$S41-4,0))</f>
        <v>Jiangxi</v>
      </c>
      <c r="K41" s="295"/>
      <c r="L41" s="295"/>
      <c r="M41" s="295"/>
      <c r="N41" s="295"/>
      <c r="O41" s="295"/>
      <c r="P41" s="295"/>
      <c r="Q41" s="296"/>
      <c r="R41" s="227"/>
      <c r="S41" s="228">
        <f ca="1">IF(C41="",NA(),MATCH($B41&amp;$C41,'Smelter Reference List'!$J:$J,0))</f>
        <v>479</v>
      </c>
      <c r="T41" s="229"/>
      <c r="U41" s="229">
        <f t="shared" ca="1" si="2"/>
        <v>0</v>
      </c>
      <c r="V41" s="229"/>
      <c r="W41" s="229"/>
      <c r="Y41" s="223" t="str">
        <f t="shared" ca="1" si="3"/>
        <v>TungstenDayu Weiliang Tungsten Co., Ltd.</v>
      </c>
    </row>
    <row r="42" spans="1:25" s="223" customFormat="1" ht="20.25">
      <c r="A42" s="291" t="s">
        <v>1233</v>
      </c>
      <c r="B42" s="292" t="str">
        <f ca="1">IF(LEN(A42)=0,"",INDEX('Smelter Reference List'!$A:$A,MATCH($A42,'Smelter Reference List'!$E:$E,0)))</f>
        <v>Gold</v>
      </c>
      <c r="C42" s="298" t="str">
        <f ca="1">IF(LEN(A42)=0,"",INDEX('Smelter Reference List'!$C:$C,MATCH($A42,'Smelter Reference List'!$E:$E,0)))</f>
        <v>DSC (Do Sung Corporation)</v>
      </c>
      <c r="D42" s="292" t="str">
        <f ca="1">IF(ISERROR($S42),"",OFFSET('Smelter Reference List'!$C$4,$S42-4,0)&amp;"")</f>
        <v>DSC (Do Sung Corporation)</v>
      </c>
      <c r="E42" s="292" t="str">
        <f ca="1">IF(ISERROR($S42),"",OFFSET('Smelter Reference List'!$D$4,$S42-4,0)&amp;"")</f>
        <v>KOREA (REPUBLIC OF)</v>
      </c>
      <c r="F42" s="292" t="str">
        <f ca="1">IF(ISERROR($S42),"",OFFSET('Smelter Reference List'!$E$4,$S42-4,0))</f>
        <v>CID000359</v>
      </c>
      <c r="G42" s="292" t="str">
        <f ca="1">IF(C42=$U$4,"Enter smelter details", IF(ISERROR($S42),"",OFFSET('Smelter Reference List'!$F$4,$S42-4,0)))</f>
        <v>CFSI</v>
      </c>
      <c r="H42" s="293">
        <f ca="1">IF(ISERROR($S42),"",OFFSET('Smelter Reference List'!$G$4,$S42-4,0))</f>
        <v>0</v>
      </c>
      <c r="I42" s="294" t="str">
        <f ca="1">IF(ISERROR($S42),"",OFFSET('Smelter Reference List'!$H$4,$S42-4,0))</f>
        <v>Gimpo</v>
      </c>
      <c r="J42" s="294" t="str">
        <f ca="1">IF(ISERROR($S42),"",OFFSET('Smelter Reference List'!$I$4,$S42-4,0))</f>
        <v>Gyeonggi</v>
      </c>
      <c r="K42" s="295"/>
      <c r="L42" s="295"/>
      <c r="M42" s="295"/>
      <c r="N42" s="295"/>
      <c r="O42" s="295"/>
      <c r="P42" s="295"/>
      <c r="Q42" s="296"/>
      <c r="R42" s="227"/>
      <c r="S42" s="228">
        <f ca="1">IF(C42="",NA(),MATCH($B42&amp;$C42,'Smelter Reference List'!$J:$J,0))</f>
        <v>55</v>
      </c>
      <c r="T42" s="229"/>
      <c r="U42" s="229">
        <f t="shared" ca="1" si="2"/>
        <v>0</v>
      </c>
      <c r="V42" s="229"/>
      <c r="W42" s="229"/>
      <c r="Y42" s="223" t="str">
        <f t="shared" ca="1" si="3"/>
        <v>GoldDSC (Do Sung Corporation)</v>
      </c>
    </row>
    <row r="43" spans="1:25" s="223" customFormat="1" ht="20.25">
      <c r="A43" s="291" t="s">
        <v>1235</v>
      </c>
      <c r="B43" s="292" t="str">
        <f ca="1">IF(LEN(A43)=0,"",INDEX('Smelter Reference List'!$A:$A,MATCH($A43,'Smelter Reference List'!$E:$E,0)))</f>
        <v>Gold</v>
      </c>
      <c r="C43" s="298" t="str">
        <f ca="1">IF(LEN(A43)=0,"",INDEX('Smelter Reference List'!$C:$C,MATCH($A43,'Smelter Reference List'!$E:$E,0)))</f>
        <v>DODUCO GmbH</v>
      </c>
      <c r="D43" s="292" t="str">
        <f ca="1">IF(ISERROR($S43),"",OFFSET('Smelter Reference List'!$C$4,$S43-4,0)&amp;"")</f>
        <v>DODUCO GmbH</v>
      </c>
      <c r="E43" s="292" t="str">
        <f ca="1">IF(ISERROR($S43),"",OFFSET('Smelter Reference List'!$D$4,$S43-4,0)&amp;"")</f>
        <v>GERMANY</v>
      </c>
      <c r="F43" s="292" t="str">
        <f ca="1">IF(ISERROR($S43),"",OFFSET('Smelter Reference List'!$E$4,$S43-4,0))</f>
        <v>CID000362</v>
      </c>
      <c r="G43" s="292" t="str">
        <f ca="1">IF(C43=$U$4,"Enter smelter details", IF(ISERROR($S43),"",OFFSET('Smelter Reference List'!$F$4,$S43-4,0)))</f>
        <v>CFSI</v>
      </c>
      <c r="H43" s="293">
        <f ca="1">IF(ISERROR($S43),"",OFFSET('Smelter Reference List'!$G$4,$S43-4,0))</f>
        <v>0</v>
      </c>
      <c r="I43" s="294" t="str">
        <f ca="1">IF(ISERROR($S43),"",OFFSET('Smelter Reference List'!$H$4,$S43-4,0))</f>
        <v>Pforzheim</v>
      </c>
      <c r="J43" s="294" t="str">
        <f ca="1">IF(ISERROR($S43),"",OFFSET('Smelter Reference List'!$I$4,$S43-4,0))</f>
        <v>Baden-Württemberg</v>
      </c>
      <c r="K43" s="295"/>
      <c r="L43" s="295"/>
      <c r="M43" s="295"/>
      <c r="N43" s="295"/>
      <c r="O43" s="295"/>
      <c r="P43" s="295"/>
      <c r="Q43" s="296"/>
      <c r="R43" s="227"/>
      <c r="S43" s="228">
        <f ca="1">IF(C43="",NA(),MATCH($B43&amp;$C43,'Smelter Reference List'!$J:$J,0))</f>
        <v>49</v>
      </c>
      <c r="T43" s="229"/>
      <c r="U43" s="229">
        <f t="shared" ca="1" si="2"/>
        <v>0</v>
      </c>
      <c r="V43" s="229"/>
      <c r="W43" s="229"/>
      <c r="Y43" s="223" t="str">
        <f t="shared" ca="1" si="3"/>
        <v>GoldDODUCO GmbH</v>
      </c>
    </row>
    <row r="44" spans="1:25" s="223" customFormat="1" ht="20.25">
      <c r="A44" s="291" t="s">
        <v>1236</v>
      </c>
      <c r="B44" s="292" t="str">
        <f ca="1">IF(LEN(A44)=0,"",INDEX('Smelter Reference List'!$A:$A,MATCH($A44,'Smelter Reference List'!$E:$E,0)))</f>
        <v>Gold</v>
      </c>
      <c r="C44" s="298" t="str">
        <f ca="1">IF(LEN(A44)=0,"",INDEX('Smelter Reference List'!$C:$C,MATCH($A44,'Smelter Reference List'!$E:$E,0)))</f>
        <v>Dowa</v>
      </c>
      <c r="D44" s="292" t="str">
        <f ca="1">IF(ISERROR($S44),"",OFFSET('Smelter Reference List'!$C$4,$S44-4,0)&amp;"")</f>
        <v>Dowa</v>
      </c>
      <c r="E44" s="292" t="str">
        <f ca="1">IF(ISERROR($S44),"",OFFSET('Smelter Reference List'!$D$4,$S44-4,0)&amp;"")</f>
        <v>JAPAN</v>
      </c>
      <c r="F44" s="292" t="str">
        <f ca="1">IF(ISERROR($S44),"",OFFSET('Smelter Reference List'!$E$4,$S44-4,0))</f>
        <v>CID000401</v>
      </c>
      <c r="G44" s="292" t="str">
        <f ca="1">IF(C44=$U$4,"Enter smelter details", IF(ISERROR($S44),"",OFFSET('Smelter Reference List'!$F$4,$S44-4,0)))</f>
        <v>CFSI</v>
      </c>
      <c r="H44" s="293">
        <f ca="1">IF(ISERROR($S44),"",OFFSET('Smelter Reference List'!$G$4,$S44-4,0))</f>
        <v>0</v>
      </c>
      <c r="I44" s="294" t="str">
        <f ca="1">IF(ISERROR($S44),"",OFFSET('Smelter Reference List'!$H$4,$S44-4,0))</f>
        <v>Kosaka</v>
      </c>
      <c r="J44" s="294" t="str">
        <f ca="1">IF(ISERROR($S44),"",OFFSET('Smelter Reference List'!$I$4,$S44-4,0))</f>
        <v>Akita</v>
      </c>
      <c r="K44" s="295"/>
      <c r="L44" s="295"/>
      <c r="M44" s="295"/>
      <c r="N44" s="295"/>
      <c r="O44" s="295"/>
      <c r="P44" s="295"/>
      <c r="Q44" s="296"/>
      <c r="R44" s="227"/>
      <c r="S44" s="228">
        <f ca="1">IF(C44="",NA(),MATCH($B44&amp;$C44,'Smelter Reference List'!$J:$J,0))</f>
        <v>51</v>
      </c>
      <c r="T44" s="229"/>
      <c r="U44" s="229">
        <f t="shared" ca="1" si="2"/>
        <v>0</v>
      </c>
      <c r="V44" s="229"/>
      <c r="W44" s="229"/>
      <c r="Y44" s="223" t="str">
        <f t="shared" ca="1" si="3"/>
        <v>GoldDowa</v>
      </c>
    </row>
    <row r="45" spans="1:25" s="223" customFormat="1" ht="20.25">
      <c r="A45" s="291" t="s">
        <v>2680</v>
      </c>
      <c r="B45" s="292" t="str">
        <f ca="1">IF(LEN(A45)=0,"",INDEX('Smelter Reference List'!$A:$A,MATCH($A45,'Smelter Reference List'!$E:$E,0)))</f>
        <v>Tin</v>
      </c>
      <c r="C45" s="298" t="str">
        <f ca="1">IF(LEN(A45)=0,"",INDEX('Smelter Reference List'!$C:$C,MATCH($A45,'Smelter Reference List'!$E:$E,0)))</f>
        <v>Dowa</v>
      </c>
      <c r="D45" s="292" t="str">
        <f ca="1">IF(ISERROR($S45),"",OFFSET('Smelter Reference List'!$C$4,$S45-4,0)&amp;"")</f>
        <v>Dowa</v>
      </c>
      <c r="E45" s="292" t="str">
        <f ca="1">IF(ISERROR($S45),"",OFFSET('Smelter Reference List'!$D$4,$S45-4,0)&amp;"")</f>
        <v>JAPAN</v>
      </c>
      <c r="F45" s="292" t="str">
        <f ca="1">IF(ISERROR($S45),"",OFFSET('Smelter Reference List'!$E$4,$S45-4,0))</f>
        <v>CID000402</v>
      </c>
      <c r="G45" s="292" t="str">
        <f ca="1">IF(C45=$U$4,"Enter smelter details", IF(ISERROR($S45),"",OFFSET('Smelter Reference List'!$F$4,$S45-4,0)))</f>
        <v>CFSI</v>
      </c>
      <c r="H45" s="293">
        <f ca="1">IF(ISERROR($S45),"",OFFSET('Smelter Reference List'!$G$4,$S45-4,0))</f>
        <v>0</v>
      </c>
      <c r="I45" s="294" t="str">
        <f ca="1">IF(ISERROR($S45),"",OFFSET('Smelter Reference List'!$H$4,$S45-4,0))</f>
        <v>Kosaka</v>
      </c>
      <c r="J45" s="294" t="str">
        <f ca="1">IF(ISERROR($S45),"",OFFSET('Smelter Reference List'!$I$4,$S45-4,0))</f>
        <v>Akita</v>
      </c>
      <c r="K45" s="295"/>
      <c r="L45" s="295"/>
      <c r="M45" s="295"/>
      <c r="N45" s="295"/>
      <c r="O45" s="295"/>
      <c r="P45" s="295"/>
      <c r="Q45" s="296"/>
      <c r="R45" s="227"/>
      <c r="S45" s="228">
        <f ca="1">IF(C45="",NA(),MATCH($B45&amp;$C45,'Smelter Reference List'!$J:$J,0))</f>
        <v>343</v>
      </c>
      <c r="T45" s="229"/>
      <c r="U45" s="229">
        <f t="shared" ca="1" si="2"/>
        <v>0</v>
      </c>
      <c r="V45" s="229"/>
      <c r="W45" s="229"/>
      <c r="Y45" s="223" t="str">
        <f t="shared" ca="1" si="3"/>
        <v>TinDowa</v>
      </c>
    </row>
    <row r="46" spans="1:25" s="223" customFormat="1" ht="20.25">
      <c r="A46" s="291" t="s">
        <v>1317</v>
      </c>
      <c r="B46" s="292" t="str">
        <f ca="1">IF(LEN(A46)=0,"",INDEX('Smelter Reference List'!$A:$A,MATCH($A46,'Smelter Reference List'!$E:$E,0)))</f>
        <v>Tantalum</v>
      </c>
      <c r="C46" s="298" t="str">
        <f ca="1">IF(LEN(A46)=0,"",INDEX('Smelter Reference List'!$C:$C,MATCH($A46,'Smelter Reference List'!$E:$E,0)))</f>
        <v>Duoluoshan</v>
      </c>
      <c r="D46" s="292" t="str">
        <f ca="1">IF(ISERROR($S46),"",OFFSET('Smelter Reference List'!$C$4,$S46-4,0)&amp;"")</f>
        <v>Duoluoshan</v>
      </c>
      <c r="E46" s="292" t="str">
        <f ca="1">IF(ISERROR($S46),"",OFFSET('Smelter Reference List'!$D$4,$S46-4,0)&amp;"")</f>
        <v>CHINA</v>
      </c>
      <c r="F46" s="292" t="str">
        <f ca="1">IF(ISERROR($S46),"",OFFSET('Smelter Reference List'!$E$4,$S46-4,0))</f>
        <v>CID000410</v>
      </c>
      <c r="G46" s="292" t="str">
        <f ca="1">IF(C46=$U$4,"Enter smelter details", IF(ISERROR($S46),"",OFFSET('Smelter Reference List'!$F$4,$S46-4,0)))</f>
        <v>CFSI</v>
      </c>
      <c r="H46" s="293">
        <f ca="1">IF(ISERROR($S46),"",OFFSET('Smelter Reference List'!$G$4,$S46-4,0))</f>
        <v>0</v>
      </c>
      <c r="I46" s="294" t="str">
        <f ca="1">IF(ISERROR($S46),"",OFFSET('Smelter Reference List'!$H$4,$S46-4,0))</f>
        <v>Sihui City</v>
      </c>
      <c r="J46" s="294" t="str">
        <f ca="1">IF(ISERROR($S46),"",OFFSET('Smelter Reference List'!$I$4,$S46-4,0))</f>
        <v>Guangdong</v>
      </c>
      <c r="K46" s="295"/>
      <c r="L46" s="295"/>
      <c r="M46" s="295"/>
      <c r="N46" s="295"/>
      <c r="O46" s="295"/>
      <c r="P46" s="295"/>
      <c r="Q46" s="296"/>
      <c r="R46" s="227"/>
      <c r="S46" s="228">
        <f ca="1">IF(C46="",NA(),MATCH($B46&amp;$C46,'Smelter Reference List'!$J:$J,0))</f>
        <v>250</v>
      </c>
      <c r="T46" s="229"/>
      <c r="U46" s="229">
        <f t="shared" ca="1" si="2"/>
        <v>0</v>
      </c>
      <c r="V46" s="229"/>
      <c r="W46" s="229"/>
      <c r="Y46" s="223" t="str">
        <f t="shared" ca="1" si="3"/>
        <v>TantalumDuoluoshan</v>
      </c>
    </row>
    <row r="47" spans="1:25" s="223" customFormat="1" ht="20.25">
      <c r="A47" s="291" t="s">
        <v>715</v>
      </c>
      <c r="B47" s="292" t="str">
        <f ca="1">IF(LEN(A47)=0,"",INDEX('Smelter Reference List'!$A:$A,MATCH($A47,'Smelter Reference List'!$E:$E,0)))</f>
        <v>Gold</v>
      </c>
      <c r="C47" s="298" t="str">
        <f ca="1">IF(LEN(A47)=0,"",INDEX('Smelter Reference List'!$C:$C,MATCH($A47,'Smelter Reference List'!$E:$E,0)))</f>
        <v>Eco-System Recycling Co., Ltd.</v>
      </c>
      <c r="D47" s="292" t="str">
        <f ca="1">IF(ISERROR($S47),"",OFFSET('Smelter Reference List'!$C$4,$S47-4,0)&amp;"")</f>
        <v>Eco-System Recycling Co., Ltd.</v>
      </c>
      <c r="E47" s="292" t="str">
        <f ca="1">IF(ISERROR($S47),"",OFFSET('Smelter Reference List'!$D$4,$S47-4,0)&amp;"")</f>
        <v>JAPAN</v>
      </c>
      <c r="F47" s="292" t="str">
        <f ca="1">IF(ISERROR($S47),"",OFFSET('Smelter Reference List'!$E$4,$S47-4,0))</f>
        <v>CID000425</v>
      </c>
      <c r="G47" s="292" t="str">
        <f ca="1">IF(C47=$U$4,"Enter smelter details", IF(ISERROR($S47),"",OFFSET('Smelter Reference List'!$F$4,$S47-4,0)))</f>
        <v>CFSI</v>
      </c>
      <c r="H47" s="293">
        <f ca="1">IF(ISERROR($S47),"",OFFSET('Smelter Reference List'!$G$4,$S47-4,0))</f>
        <v>0</v>
      </c>
      <c r="I47" s="294" t="str">
        <f ca="1">IF(ISERROR($S47),"",OFFSET('Smelter Reference List'!$H$4,$S47-4,0))</f>
        <v>Honjo</v>
      </c>
      <c r="J47" s="294" t="str">
        <f ca="1">IF(ISERROR($S47),"",OFFSET('Smelter Reference List'!$I$4,$S47-4,0))</f>
        <v>Saitama</v>
      </c>
      <c r="K47" s="295"/>
      <c r="L47" s="295"/>
      <c r="M47" s="295"/>
      <c r="N47" s="295"/>
      <c r="O47" s="295"/>
      <c r="P47" s="295"/>
      <c r="Q47" s="296"/>
      <c r="R47" s="227"/>
      <c r="S47" s="228">
        <f ca="1">IF(C47="",NA(),MATCH($B47&amp;$C47,'Smelter Reference List'!$J:$J,0))</f>
        <v>56</v>
      </c>
      <c r="T47" s="229"/>
      <c r="U47" s="229">
        <f t="shared" ca="1" si="2"/>
        <v>0</v>
      </c>
      <c r="V47" s="229"/>
      <c r="W47" s="229"/>
      <c r="Y47" s="223" t="str">
        <f t="shared" ca="1" si="3"/>
        <v>GoldEco-System Recycling Co., Ltd.</v>
      </c>
    </row>
    <row r="48" spans="1:25" s="223" customFormat="1" ht="20.25">
      <c r="A48" s="291" t="s">
        <v>1345</v>
      </c>
      <c r="B48" s="292" t="str">
        <f ca="1">IF(LEN(A48)=0,"",INDEX('Smelter Reference List'!$A:$A,MATCH($A48,'Smelter Reference List'!$E:$E,0)))</f>
        <v>Tin</v>
      </c>
      <c r="C48" s="298" t="str">
        <f ca="1">IF(LEN(A48)=0,"",INDEX('Smelter Reference List'!$C:$C,MATCH($A48,'Smelter Reference List'!$E:$E,0)))</f>
        <v>EM Vinto</v>
      </c>
      <c r="D48" s="292" t="str">
        <f ca="1">IF(ISERROR($S48),"",OFFSET('Smelter Reference List'!$C$4,$S48-4,0)&amp;"")</f>
        <v>EM Vinto</v>
      </c>
      <c r="E48" s="292" t="str">
        <f ca="1">IF(ISERROR($S48),"",OFFSET('Smelter Reference List'!$D$4,$S48-4,0)&amp;"")</f>
        <v>BOLIVIA (PLURINATIONAL STATE OF)</v>
      </c>
      <c r="F48" s="292" t="str">
        <f ca="1">IF(ISERROR($S48),"",OFFSET('Smelter Reference List'!$E$4,$S48-4,0))</f>
        <v>CID000438</v>
      </c>
      <c r="G48" s="292" t="str">
        <f ca="1">IF(C48=$U$4,"Enter smelter details", IF(ISERROR($S48),"",OFFSET('Smelter Reference List'!$F$4,$S48-4,0)))</f>
        <v>CFSI</v>
      </c>
      <c r="H48" s="293">
        <f ca="1">IF(ISERROR($S48),"",OFFSET('Smelter Reference List'!$G$4,$S48-4,0))</f>
        <v>0</v>
      </c>
      <c r="I48" s="294" t="str">
        <f ca="1">IF(ISERROR($S48),"",OFFSET('Smelter Reference List'!$H$4,$S48-4,0))</f>
        <v>Oruro</v>
      </c>
      <c r="J48" s="294" t="str">
        <f ca="1">IF(ISERROR($S48),"",OFFSET('Smelter Reference List'!$I$4,$S48-4,0))</f>
        <v>Cercado</v>
      </c>
      <c r="K48" s="295"/>
      <c r="L48" s="295"/>
      <c r="M48" s="295"/>
      <c r="N48" s="295"/>
      <c r="O48" s="295"/>
      <c r="P48" s="295"/>
      <c r="Q48" s="296"/>
      <c r="R48" s="227"/>
      <c r="S48" s="228">
        <f ca="1">IF(C48="",NA(),MATCH($B48&amp;$C48,'Smelter Reference List'!$J:$J,0))</f>
        <v>347</v>
      </c>
      <c r="T48" s="229"/>
      <c r="U48" s="229">
        <f t="shared" ca="1" si="2"/>
        <v>0</v>
      </c>
      <c r="V48" s="229"/>
      <c r="W48" s="229"/>
      <c r="Y48" s="223" t="str">
        <f t="shared" ca="1" si="3"/>
        <v>TinEM Vinto</v>
      </c>
    </row>
    <row r="49" spans="1:25" s="223" customFormat="1" ht="20.25">
      <c r="A49" s="291" t="s">
        <v>1347</v>
      </c>
      <c r="B49" s="292" t="str">
        <f ca="1">IF(LEN(A49)=0,"",INDEX('Smelter Reference List'!$A:$A,MATCH($A49,'Smelter Reference List'!$E:$E,0)))</f>
        <v>Tin</v>
      </c>
      <c r="C49" s="298" t="str">
        <f ca="1">IF(LEN(A49)=0,"",INDEX('Smelter Reference List'!$C:$C,MATCH($A49,'Smelter Reference List'!$E:$E,0)))</f>
        <v>Estanho de Rondônia S.A.</v>
      </c>
      <c r="D49" s="292" t="str">
        <f ca="1">IF(ISERROR($S49),"",OFFSET('Smelter Reference List'!$C$4,$S49-4,0)&amp;"")</f>
        <v>Estanho de Rondônia S.A.</v>
      </c>
      <c r="E49" s="292" t="str">
        <f ca="1">IF(ISERROR($S49),"",OFFSET('Smelter Reference List'!$D$4,$S49-4,0)&amp;"")</f>
        <v>BRAZIL</v>
      </c>
      <c r="F49" s="292" t="str">
        <f ca="1">IF(ISERROR($S49),"",OFFSET('Smelter Reference List'!$E$4,$S49-4,0))</f>
        <v>CID000448</v>
      </c>
      <c r="G49" s="292" t="str">
        <f ca="1">IF(C49=$U$4,"Enter smelter details", IF(ISERROR($S49),"",OFFSET('Smelter Reference List'!$F$4,$S49-4,0)))</f>
        <v>CFSI</v>
      </c>
      <c r="H49" s="293">
        <f ca="1">IF(ISERROR($S49),"",OFFSET('Smelter Reference List'!$G$4,$S49-4,0))</f>
        <v>0</v>
      </c>
      <c r="I49" s="294" t="str">
        <f ca="1">IF(ISERROR($S49),"",OFFSET('Smelter Reference List'!$H$4,$S49-4,0))</f>
        <v>Ariquemes</v>
      </c>
      <c r="J49" s="294" t="str">
        <f ca="1">IF(ISERROR($S49),"",OFFSET('Smelter Reference List'!$I$4,$S49-4,0))</f>
        <v>Rondônia</v>
      </c>
      <c r="K49" s="295"/>
      <c r="L49" s="295"/>
      <c r="M49" s="295"/>
      <c r="N49" s="295"/>
      <c r="O49" s="295"/>
      <c r="P49" s="295"/>
      <c r="Q49" s="296"/>
      <c r="R49" s="227"/>
      <c r="S49" s="228">
        <f ca="1">IF(C49="",NA(),MATCH($B49&amp;$C49,'Smelter Reference List'!$J:$J,0))</f>
        <v>351</v>
      </c>
      <c r="T49" s="229"/>
      <c r="U49" s="229">
        <f t="shared" ca="1" si="2"/>
        <v>0</v>
      </c>
      <c r="V49" s="229"/>
      <c r="W49" s="229"/>
      <c r="Y49" s="223" t="str">
        <f t="shared" ca="1" si="3"/>
        <v>TinEstanho de Rondônia S.A.</v>
      </c>
    </row>
    <row r="50" spans="1:25" s="223" customFormat="1" ht="20.25">
      <c r="A50" s="291" t="s">
        <v>1318</v>
      </c>
      <c r="B50" s="292" t="str">
        <f ca="1">IF(LEN(A50)=0,"",INDEX('Smelter Reference List'!$A:$A,MATCH($A50,'Smelter Reference List'!$E:$E,0)))</f>
        <v>Tantalum</v>
      </c>
      <c r="C50" s="298" t="str">
        <f ca="1">IF(LEN(A50)=0,"",INDEX('Smelter Reference List'!$C:$C,MATCH($A50,'Smelter Reference List'!$E:$E,0)))</f>
        <v>Exotech Inc.</v>
      </c>
      <c r="D50" s="292" t="str">
        <f ca="1">IF(ISERROR($S50),"",OFFSET('Smelter Reference List'!$C$4,$S50-4,0)&amp;"")</f>
        <v>Exotech Inc.</v>
      </c>
      <c r="E50" s="292" t="str">
        <f ca="1">IF(ISERROR($S50),"",OFFSET('Smelter Reference List'!$D$4,$S50-4,0)&amp;"")</f>
        <v>UNITED STATES OF AMERICA</v>
      </c>
      <c r="F50" s="292" t="str">
        <f ca="1">IF(ISERROR($S50),"",OFFSET('Smelter Reference List'!$E$4,$S50-4,0))</f>
        <v>CID000456</v>
      </c>
      <c r="G50" s="292" t="str">
        <f ca="1">IF(C50=$U$4,"Enter smelter details", IF(ISERROR($S50),"",OFFSET('Smelter Reference List'!$F$4,$S50-4,0)))</f>
        <v>CFSI</v>
      </c>
      <c r="H50" s="293">
        <f ca="1">IF(ISERROR($S50),"",OFFSET('Smelter Reference List'!$G$4,$S50-4,0))</f>
        <v>0</v>
      </c>
      <c r="I50" s="294" t="str">
        <f ca="1">IF(ISERROR($S50),"",OFFSET('Smelter Reference List'!$H$4,$S50-4,0))</f>
        <v>Pompano Beach</v>
      </c>
      <c r="J50" s="294" t="str">
        <f ca="1">IF(ISERROR($S50),"",OFFSET('Smelter Reference List'!$I$4,$S50-4,0))</f>
        <v>Florida</v>
      </c>
      <c r="K50" s="295"/>
      <c r="L50" s="295"/>
      <c r="M50" s="295"/>
      <c r="N50" s="295"/>
      <c r="O50" s="295"/>
      <c r="P50" s="295"/>
      <c r="Q50" s="296"/>
      <c r="R50" s="227"/>
      <c r="S50" s="228">
        <f ca="1">IF(C50="",NA(),MATCH($B50&amp;$C50,'Smelter Reference List'!$J:$J,0))</f>
        <v>252</v>
      </c>
      <c r="T50" s="229"/>
      <c r="U50" s="229">
        <f t="shared" ca="1" si="2"/>
        <v>0</v>
      </c>
      <c r="V50" s="229"/>
      <c r="W50" s="229"/>
      <c r="Y50" s="223" t="str">
        <f t="shared" ca="1" si="3"/>
        <v>TantalumExotech Inc.</v>
      </c>
    </row>
    <row r="51" spans="1:25" s="223" customFormat="1" ht="20.25">
      <c r="A51" s="291" t="s">
        <v>1319</v>
      </c>
      <c r="B51" s="292" t="str">
        <f ca="1">IF(LEN(A51)=0,"",INDEX('Smelter Reference List'!$A:$A,MATCH($A51,'Smelter Reference List'!$E:$E,0)))</f>
        <v>Tantalum</v>
      </c>
      <c r="C51" s="298" t="str">
        <f ca="1">IF(LEN(A51)=0,"",INDEX('Smelter Reference List'!$C:$C,MATCH($A51,'Smelter Reference List'!$E:$E,0)))</f>
        <v>F&amp;X Electro-Materials Ltd.</v>
      </c>
      <c r="D51" s="292" t="str">
        <f ca="1">IF(ISERROR($S51),"",OFFSET('Smelter Reference List'!$C$4,$S51-4,0)&amp;"")</f>
        <v>F&amp;X Electro-Materials Ltd.</v>
      </c>
      <c r="E51" s="292" t="str">
        <f ca="1">IF(ISERROR($S51),"",OFFSET('Smelter Reference List'!$D$4,$S51-4,0)&amp;"")</f>
        <v>CHINA</v>
      </c>
      <c r="F51" s="292" t="str">
        <f ca="1">IF(ISERROR($S51),"",OFFSET('Smelter Reference List'!$E$4,$S51-4,0))</f>
        <v>CID000460</v>
      </c>
      <c r="G51" s="292" t="str">
        <f ca="1">IF(C51=$U$4,"Enter smelter details", IF(ISERROR($S51),"",OFFSET('Smelter Reference List'!$F$4,$S51-4,0)))</f>
        <v>CFSI</v>
      </c>
      <c r="H51" s="293">
        <f ca="1">IF(ISERROR($S51),"",OFFSET('Smelter Reference List'!$G$4,$S51-4,0))</f>
        <v>0</v>
      </c>
      <c r="I51" s="294" t="str">
        <f ca="1">IF(ISERROR($S51),"",OFFSET('Smelter Reference List'!$H$4,$S51-4,0))</f>
        <v>Jiangmen</v>
      </c>
      <c r="J51" s="294" t="str">
        <f ca="1">IF(ISERROR($S51),"",OFFSET('Smelter Reference List'!$I$4,$S51-4,0))</f>
        <v>Guangdong</v>
      </c>
      <c r="K51" s="295"/>
      <c r="L51" s="295"/>
      <c r="M51" s="295"/>
      <c r="N51" s="295"/>
      <c r="O51" s="295"/>
      <c r="P51" s="295"/>
      <c r="Q51" s="296"/>
      <c r="R51" s="227"/>
      <c r="S51" s="228">
        <f ca="1">IF(C51="",NA(),MATCH($B51&amp;$C51,'Smelter Reference List'!$J:$J,0))</f>
        <v>254</v>
      </c>
      <c r="T51" s="229"/>
      <c r="U51" s="229">
        <f t="shared" ca="1" si="2"/>
        <v>0</v>
      </c>
      <c r="V51" s="229"/>
      <c r="W51" s="229"/>
      <c r="Y51" s="223" t="str">
        <f t="shared" ca="1" si="3"/>
        <v>TantalumF&amp;X Electro-Materials Ltd.</v>
      </c>
    </row>
    <row r="52" spans="1:25" s="223" customFormat="1" ht="20.25">
      <c r="A52" s="291" t="s">
        <v>1348</v>
      </c>
      <c r="B52" s="292" t="str">
        <f ca="1">IF(LEN(A52)=0,"",INDEX('Smelter Reference List'!$A:$A,MATCH($A52,'Smelter Reference List'!$E:$E,0)))</f>
        <v>Tin</v>
      </c>
      <c r="C52" s="298" t="str">
        <f ca="1">IF(LEN(A52)=0,"",INDEX('Smelter Reference List'!$C:$C,MATCH($A52,'Smelter Reference List'!$E:$E,0)))</f>
        <v>Fenix Metals</v>
      </c>
      <c r="D52" s="292" t="str">
        <f ca="1">IF(ISERROR($S52),"",OFFSET('Smelter Reference List'!$C$4,$S52-4,0)&amp;"")</f>
        <v>Fenix Metals</v>
      </c>
      <c r="E52" s="292" t="str">
        <f ca="1">IF(ISERROR($S52),"",OFFSET('Smelter Reference List'!$D$4,$S52-4,0)&amp;"")</f>
        <v>POLAND</v>
      </c>
      <c r="F52" s="292" t="str">
        <f ca="1">IF(ISERROR($S52),"",OFFSET('Smelter Reference List'!$E$4,$S52-4,0))</f>
        <v>CID000468</v>
      </c>
      <c r="G52" s="292" t="str">
        <f ca="1">IF(C52=$U$4,"Enter smelter details", IF(ISERROR($S52),"",OFFSET('Smelter Reference List'!$F$4,$S52-4,0)))</f>
        <v>CFSI</v>
      </c>
      <c r="H52" s="293">
        <f ca="1">IF(ISERROR($S52),"",OFFSET('Smelter Reference List'!$G$4,$S52-4,0))</f>
        <v>0</v>
      </c>
      <c r="I52" s="294" t="str">
        <f ca="1">IF(ISERROR($S52),"",OFFSET('Smelter Reference List'!$H$4,$S52-4,0))</f>
        <v>Chmielów</v>
      </c>
      <c r="J52" s="294" t="str">
        <f ca="1">IF(ISERROR($S52),"",OFFSET('Smelter Reference List'!$I$4,$S52-4,0))</f>
        <v>Subcarpathian Voivodeship</v>
      </c>
      <c r="K52" s="295"/>
      <c r="L52" s="295"/>
      <c r="M52" s="295"/>
      <c r="N52" s="295"/>
      <c r="O52" s="295"/>
      <c r="P52" s="295"/>
      <c r="Q52" s="296"/>
      <c r="R52" s="227"/>
      <c r="S52" s="228">
        <f ca="1">IF(C52="",NA(),MATCH($B52&amp;$C52,'Smelter Reference List'!$J:$J,0))</f>
        <v>352</v>
      </c>
      <c r="T52" s="229"/>
      <c r="U52" s="229">
        <f t="shared" ca="1" si="2"/>
        <v>0</v>
      </c>
      <c r="V52" s="229"/>
      <c r="W52" s="229"/>
      <c r="Y52" s="223" t="str">
        <f t="shared" ca="1" si="3"/>
        <v>TinFenix Metals</v>
      </c>
    </row>
    <row r="53" spans="1:25" s="223" customFormat="1" ht="20.25">
      <c r="A53" s="291" t="s">
        <v>1237</v>
      </c>
      <c r="B53" s="292" t="str">
        <f ca="1">IF(LEN(A53)=0,"",INDEX('Smelter Reference List'!$A:$A,MATCH($A53,'Smelter Reference List'!$E:$E,0)))</f>
        <v>Gold</v>
      </c>
      <c r="C53" s="298" t="str">
        <f ca="1">IF(LEN(A53)=0,"",INDEX('Smelter Reference List'!$C:$C,MATCH($A53,'Smelter Reference List'!$E:$E,0)))</f>
        <v>OJSC Novosibirsk Refinery</v>
      </c>
      <c r="D53" s="292" t="str">
        <f ca="1">IF(ISERROR($S53),"",OFFSET('Smelter Reference List'!$C$4,$S53-4,0)&amp;"")</f>
        <v>OJSC Novosibirsk Refinery</v>
      </c>
      <c r="E53" s="292" t="str">
        <f ca="1">IF(ISERROR($S53),"",OFFSET('Smelter Reference List'!$D$4,$S53-4,0)&amp;"")</f>
        <v>RUSSIAN FEDERATION</v>
      </c>
      <c r="F53" s="292" t="str">
        <f ca="1">IF(ISERROR($S53),"",OFFSET('Smelter Reference List'!$E$4,$S53-4,0))</f>
        <v>CID000493</v>
      </c>
      <c r="G53" s="292" t="str">
        <f ca="1">IF(C53=$U$4,"Enter smelter details", IF(ISERROR($S53),"",OFFSET('Smelter Reference List'!$F$4,$S53-4,0)))</f>
        <v>CFSI</v>
      </c>
      <c r="H53" s="293">
        <f ca="1">IF(ISERROR($S53),"",OFFSET('Smelter Reference List'!$G$4,$S53-4,0))</f>
        <v>0</v>
      </c>
      <c r="I53" s="294" t="str">
        <f ca="1">IF(ISERROR($S53),"",OFFSET('Smelter Reference List'!$H$4,$S53-4,0))</f>
        <v>Novosibirsk</v>
      </c>
      <c r="J53" s="294" t="str">
        <f ca="1">IF(ISERROR($S53),"",OFFSET('Smelter Reference List'!$I$4,$S53-4,0))</f>
        <v>Novosibirsk Province</v>
      </c>
      <c r="K53" s="295"/>
      <c r="L53" s="295"/>
      <c r="M53" s="295"/>
      <c r="N53" s="295"/>
      <c r="O53" s="295"/>
      <c r="P53" s="295"/>
      <c r="Q53" s="296"/>
      <c r="R53" s="227"/>
      <c r="S53" s="228">
        <f ca="1">IF(C53="",NA(),MATCH($B53&amp;$C53,'Smelter Reference List'!$J:$J,0))</f>
        <v>146</v>
      </c>
      <c r="T53" s="229"/>
      <c r="U53" s="229">
        <f t="shared" ca="1" si="2"/>
        <v>0</v>
      </c>
      <c r="V53" s="229"/>
      <c r="W53" s="229"/>
      <c r="Y53" s="223" t="str">
        <f t="shared" ca="1" si="3"/>
        <v>GoldOJSC Novosibirsk Refinery</v>
      </c>
    </row>
    <row r="54" spans="1:25" s="223" customFormat="1" ht="20.25">
      <c r="A54" s="291" t="s">
        <v>1389</v>
      </c>
      <c r="B54" s="292" t="str">
        <f ca="1">IF(LEN(A54)=0,"",INDEX('Smelter Reference List'!$A:$A,MATCH($A54,'Smelter Reference List'!$E:$E,0)))</f>
        <v>Tungsten</v>
      </c>
      <c r="C54" s="298" t="str">
        <f ca="1">IF(LEN(A54)=0,"",INDEX('Smelter Reference List'!$C:$C,MATCH($A54,'Smelter Reference List'!$E:$E,0)))</f>
        <v>Fujian Jinxin Tungsten Co., Ltd.</v>
      </c>
      <c r="D54" s="292" t="str">
        <f ca="1">IF(ISERROR($S54),"",OFFSET('Smelter Reference List'!$C$4,$S54-4,0)&amp;"")</f>
        <v>Fujian Jinxin Tungsten Co., Ltd.</v>
      </c>
      <c r="E54" s="292" t="str">
        <f ca="1">IF(ISERROR($S54),"",OFFSET('Smelter Reference List'!$D$4,$S54-4,0)&amp;"")</f>
        <v>CHINA</v>
      </c>
      <c r="F54" s="292" t="str">
        <f ca="1">IF(ISERROR($S54),"",OFFSET('Smelter Reference List'!$E$4,$S54-4,0))</f>
        <v>CID000499</v>
      </c>
      <c r="G54" s="292" t="str">
        <f ca="1">IF(C54=$U$4,"Enter smelter details", IF(ISERROR($S54),"",OFFSET('Smelter Reference List'!$F$4,$S54-4,0)))</f>
        <v>CFSI</v>
      </c>
      <c r="H54" s="293">
        <f ca="1">IF(ISERROR($S54),"",OFFSET('Smelter Reference List'!$G$4,$S54-4,0))</f>
        <v>0</v>
      </c>
      <c r="I54" s="294" t="str">
        <f ca="1">IF(ISERROR($S54),"",OFFSET('Smelter Reference List'!$H$4,$S54-4,0))</f>
        <v>Yanshi</v>
      </c>
      <c r="J54" s="294" t="str">
        <f ca="1">IF(ISERROR($S54),"",OFFSET('Smelter Reference List'!$I$4,$S54-4,0))</f>
        <v>Fujian</v>
      </c>
      <c r="K54" s="295"/>
      <c r="L54" s="295"/>
      <c r="M54" s="295"/>
      <c r="N54" s="295"/>
      <c r="O54" s="295"/>
      <c r="P54" s="295"/>
      <c r="Q54" s="296"/>
      <c r="R54" s="227"/>
      <c r="S54" s="228">
        <f ca="1">IF(C54="",NA(),MATCH($B54&amp;$C54,'Smelter Reference List'!$J:$J,0))</f>
        <v>480</v>
      </c>
      <c r="T54" s="229"/>
      <c r="U54" s="229">
        <f t="shared" ca="1" si="2"/>
        <v>0</v>
      </c>
      <c r="V54" s="229"/>
      <c r="W54" s="229"/>
      <c r="Y54" s="223" t="str">
        <f t="shared" ca="1" si="3"/>
        <v>TungstenFujian Jinxin Tungsten Co., Ltd.</v>
      </c>
    </row>
    <row r="55" spans="1:25" s="223" customFormat="1" ht="20.25">
      <c r="A55" s="291" t="s">
        <v>1238</v>
      </c>
      <c r="B55" s="292" t="str">
        <f ca="1">IF(LEN(A55)=0,"",INDEX('Smelter Reference List'!$A:$A,MATCH($A55,'Smelter Reference List'!$E:$E,0)))</f>
        <v>Gold</v>
      </c>
      <c r="C55" s="298" t="str">
        <f ca="1">IF(LEN(A55)=0,"",INDEX('Smelter Reference List'!$C:$C,MATCH($A55,'Smelter Reference List'!$E:$E,0)))</f>
        <v>Gansu Seemine Material Hi-Tech Co., Ltd.</v>
      </c>
      <c r="D55" s="292" t="str">
        <f ca="1">IF(ISERROR($S55),"",OFFSET('Smelter Reference List'!$C$4,$S55-4,0)&amp;"")</f>
        <v>Gansu Seemine Material Hi-Tech Co., Ltd.</v>
      </c>
      <c r="E55" s="292" t="str">
        <f ca="1">IF(ISERROR($S55),"",OFFSET('Smelter Reference List'!$D$4,$S55-4,0)&amp;"")</f>
        <v>CHINA</v>
      </c>
      <c r="F55" s="292" t="str">
        <f ca="1">IF(ISERROR($S55),"",OFFSET('Smelter Reference List'!$E$4,$S55-4,0))</f>
        <v>CID000522</v>
      </c>
      <c r="G55" s="292" t="str">
        <f ca="1">IF(C55=$U$4,"Enter smelter details", IF(ISERROR($S55),"",OFFSET('Smelter Reference List'!$F$4,$S55-4,0)))</f>
        <v>CFSI</v>
      </c>
      <c r="H55" s="293">
        <f ca="1">IF(ISERROR($S55),"",OFFSET('Smelter Reference List'!$G$4,$S55-4,0))</f>
        <v>0</v>
      </c>
      <c r="I55" s="294" t="str">
        <f ca="1">IF(ISERROR($S55),"",OFFSET('Smelter Reference List'!$H$4,$S55-4,0))</f>
        <v>Lanzhou</v>
      </c>
      <c r="J55" s="294" t="str">
        <f ca="1">IF(ISERROR($S55),"",OFFSET('Smelter Reference List'!$I$4,$S55-4,0))</f>
        <v>Gansu</v>
      </c>
      <c r="K55" s="295"/>
      <c r="L55" s="295"/>
      <c r="M55" s="295"/>
      <c r="N55" s="295"/>
      <c r="O55" s="295"/>
      <c r="P55" s="295"/>
      <c r="Q55" s="296"/>
      <c r="R55" s="227"/>
      <c r="S55" s="228">
        <f ca="1">IF(C55="",NA(),MATCH($B55&amp;$C55,'Smelter Reference List'!$J:$J,0))</f>
        <v>62</v>
      </c>
      <c r="T55" s="229"/>
      <c r="U55" s="229">
        <f t="shared" ca="1" si="2"/>
        <v>0</v>
      </c>
      <c r="V55" s="229"/>
      <c r="W55" s="229"/>
      <c r="Y55" s="223" t="str">
        <f t="shared" ca="1" si="3"/>
        <v>GoldGansu Seemine Material Hi-Tech Co., Ltd.</v>
      </c>
    </row>
    <row r="56" spans="1:25" s="223" customFormat="1" ht="20.25">
      <c r="A56" s="291" t="s">
        <v>1349</v>
      </c>
      <c r="B56" s="292" t="str">
        <f ca="1">IF(LEN(A56)=0,"",INDEX('Smelter Reference List'!$A:$A,MATCH($A56,'Smelter Reference List'!$E:$E,0)))</f>
        <v>Tin</v>
      </c>
      <c r="C56" s="298" t="str">
        <f ca="1">IF(LEN(A56)=0,"",INDEX('Smelter Reference List'!$C:$C,MATCH($A56,'Smelter Reference List'!$E:$E,0)))</f>
        <v>Gejiu Non-Ferrous Metal Processing Co., Ltd.</v>
      </c>
      <c r="D56" s="292" t="str">
        <f ca="1">IF(ISERROR($S56),"",OFFSET('Smelter Reference List'!$C$4,$S56-4,0)&amp;"")</f>
        <v>Gejiu Non-Ferrous Metal Processing Co., Ltd.</v>
      </c>
      <c r="E56" s="292" t="str">
        <f ca="1">IF(ISERROR($S56),"",OFFSET('Smelter Reference List'!$D$4,$S56-4,0)&amp;"")</f>
        <v>CHINA</v>
      </c>
      <c r="F56" s="292" t="str">
        <f ca="1">IF(ISERROR($S56),"",OFFSET('Smelter Reference List'!$E$4,$S56-4,0))</f>
        <v>CID000538</v>
      </c>
      <c r="G56" s="292" t="str">
        <f ca="1">IF(C56=$U$4,"Enter smelter details", IF(ISERROR($S56),"",OFFSET('Smelter Reference List'!$F$4,$S56-4,0)))</f>
        <v>CFSI</v>
      </c>
      <c r="H56" s="293">
        <f ca="1">IF(ISERROR($S56),"",OFFSET('Smelter Reference List'!$G$4,$S56-4,0))</f>
        <v>0</v>
      </c>
      <c r="I56" s="294" t="str">
        <f ca="1">IF(ISERROR($S56),"",OFFSET('Smelter Reference List'!$H$4,$S56-4,0))</f>
        <v>Gejiu</v>
      </c>
      <c r="J56" s="294" t="str">
        <f ca="1">IF(ISERROR($S56),"",OFFSET('Smelter Reference List'!$I$4,$S56-4,0))</f>
        <v>Yunnan</v>
      </c>
      <c r="K56" s="295"/>
      <c r="L56" s="295"/>
      <c r="M56" s="295"/>
      <c r="N56" s="295"/>
      <c r="O56" s="295"/>
      <c r="P56" s="295"/>
      <c r="Q56" s="296"/>
      <c r="R56" s="227"/>
      <c r="S56" s="228">
        <f ca="1">IF(C56="",NA(),MATCH($B56&amp;$C56,'Smelter Reference List'!$J:$J,0))</f>
        <v>358</v>
      </c>
      <c r="T56" s="229"/>
      <c r="U56" s="229">
        <f t="shared" ca="1" si="2"/>
        <v>0</v>
      </c>
      <c r="V56" s="229"/>
      <c r="W56" s="229"/>
      <c r="Y56" s="223" t="str">
        <f t="shared" ca="1" si="3"/>
        <v>TinGejiu Non-Ferrous Metal Processing Co., Ltd.</v>
      </c>
    </row>
    <row r="57" spans="1:25" s="223" customFormat="1" ht="20.25">
      <c r="A57" s="291" t="s">
        <v>1350</v>
      </c>
      <c r="B57" s="292" t="str">
        <f ca="1">IF(LEN(A57)=0,"",INDEX('Smelter Reference List'!$A:$A,MATCH($A57,'Smelter Reference List'!$E:$E,0)))</f>
        <v>Tin</v>
      </c>
      <c r="C57" s="298" t="str">
        <f ca="1">IF(LEN(A57)=0,"",INDEX('Smelter Reference List'!$C:$C,MATCH($A57,'Smelter Reference List'!$E:$E,0)))</f>
        <v>Gejiu Zili Mining And Metallurgy Co., Ltd.</v>
      </c>
      <c r="D57" s="292" t="str">
        <f ca="1">IF(ISERROR($S57),"",OFFSET('Smelter Reference List'!$C$4,$S57-4,0)&amp;"")</f>
        <v>Gejiu Zili Mining And Metallurgy Co., Ltd.</v>
      </c>
      <c r="E57" s="292" t="str">
        <f ca="1">IF(ISERROR($S57),"",OFFSET('Smelter Reference List'!$D$4,$S57-4,0)&amp;"")</f>
        <v>CHINA</v>
      </c>
      <c r="F57" s="292" t="str">
        <f ca="1">IF(ISERROR($S57),"",OFFSET('Smelter Reference List'!$E$4,$S57-4,0))</f>
        <v>CID000555</v>
      </c>
      <c r="G57" s="292" t="str">
        <f ca="1">IF(C57=$U$4,"Enter smelter details", IF(ISERROR($S57),"",OFFSET('Smelter Reference List'!$F$4,$S57-4,0)))</f>
        <v>CFSI</v>
      </c>
      <c r="H57" s="293">
        <f ca="1">IF(ISERROR($S57),"",OFFSET('Smelter Reference List'!$G$4,$S57-4,0))</f>
        <v>0</v>
      </c>
      <c r="I57" s="294" t="str">
        <f ca="1">IF(ISERROR($S57),"",OFFSET('Smelter Reference List'!$H$4,$S57-4,0))</f>
        <v>Gejiu</v>
      </c>
      <c r="J57" s="294" t="str">
        <f ca="1">IF(ISERROR($S57),"",OFFSET('Smelter Reference List'!$I$4,$S57-4,0))</f>
        <v>Yunnan</v>
      </c>
      <c r="K57" s="295"/>
      <c r="L57" s="295"/>
      <c r="M57" s="295"/>
      <c r="N57" s="295"/>
      <c r="O57" s="295"/>
      <c r="P57" s="295"/>
      <c r="Q57" s="296"/>
      <c r="R57" s="227"/>
      <c r="S57" s="228">
        <f ca="1">IF(C57="",NA(),MATCH($B57&amp;$C57,'Smelter Reference List'!$J:$J,0))</f>
        <v>361</v>
      </c>
      <c r="T57" s="229"/>
      <c r="U57" s="229">
        <f t="shared" ca="1" si="2"/>
        <v>0</v>
      </c>
      <c r="V57" s="229"/>
      <c r="W57" s="229"/>
      <c r="Y57" s="223" t="str">
        <f t="shared" ca="1" si="3"/>
        <v>TinGejiu Zili Mining And Metallurgy Co., Ltd.</v>
      </c>
    </row>
    <row r="58" spans="1:25" s="223" customFormat="1" ht="20.25">
      <c r="A58" s="291" t="s">
        <v>1390</v>
      </c>
      <c r="B58" s="292" t="str">
        <f ca="1">IF(LEN(A58)=0,"",INDEX('Smelter Reference List'!$A:$A,MATCH($A58,'Smelter Reference List'!$E:$E,0)))</f>
        <v>Tungsten</v>
      </c>
      <c r="C58" s="298" t="str">
        <f ca="1">IF(LEN(A58)=0,"",INDEX('Smelter Reference List'!$C:$C,MATCH($A58,'Smelter Reference List'!$E:$E,0)))</f>
        <v>Global Tungsten &amp; Powders Corp.</v>
      </c>
      <c r="D58" s="292" t="str">
        <f ca="1">IF(ISERROR($S58),"",OFFSET('Smelter Reference List'!$C$4,$S58-4,0)&amp;"")</f>
        <v>Global Tungsten &amp; Powders Corp.</v>
      </c>
      <c r="E58" s="292" t="str">
        <f ca="1">IF(ISERROR($S58),"",OFFSET('Smelter Reference List'!$D$4,$S58-4,0)&amp;"")</f>
        <v>UNITED STATES OF AMERICA</v>
      </c>
      <c r="F58" s="292" t="str">
        <f ca="1">IF(ISERROR($S58),"",OFFSET('Smelter Reference List'!$E$4,$S58-4,0))</f>
        <v>CID000568</v>
      </c>
      <c r="G58" s="292" t="str">
        <f ca="1">IF(C58=$U$4,"Enter smelter details", IF(ISERROR($S58),"",OFFSET('Smelter Reference List'!$F$4,$S58-4,0)))</f>
        <v>CFSI</v>
      </c>
      <c r="H58" s="293">
        <f ca="1">IF(ISERROR($S58),"",OFFSET('Smelter Reference List'!$G$4,$S58-4,0))</f>
        <v>0</v>
      </c>
      <c r="I58" s="294" t="str">
        <f ca="1">IF(ISERROR($S58),"",OFFSET('Smelter Reference List'!$H$4,$S58-4,0))</f>
        <v>Towanda</v>
      </c>
      <c r="J58" s="294" t="str">
        <f ca="1">IF(ISERROR($S58),"",OFFSET('Smelter Reference List'!$I$4,$S58-4,0))</f>
        <v>Pennsylvania</v>
      </c>
      <c r="K58" s="295"/>
      <c r="L58" s="295"/>
      <c r="M58" s="295"/>
      <c r="N58" s="295"/>
      <c r="O58" s="295"/>
      <c r="P58" s="295"/>
      <c r="Q58" s="296"/>
      <c r="R58" s="227"/>
      <c r="S58" s="228">
        <f ca="1">IF(C58="",NA(),MATCH($B58&amp;$C58,'Smelter Reference List'!$J:$J,0))</f>
        <v>485</v>
      </c>
      <c r="T58" s="229"/>
      <c r="U58" s="229">
        <f t="shared" ca="1" si="2"/>
        <v>0</v>
      </c>
      <c r="V58" s="229"/>
      <c r="W58" s="229"/>
      <c r="Y58" s="223" t="str">
        <f t="shared" ca="1" si="3"/>
        <v>TungstenGlobal Tungsten &amp; Powders Corp.</v>
      </c>
    </row>
    <row r="59" spans="1:25" s="223" customFormat="1" ht="20.25">
      <c r="A59" s="291" t="s">
        <v>1321</v>
      </c>
      <c r="B59" s="292" t="str">
        <f ca="1">IF(LEN(A59)=0,"",INDEX('Smelter Reference List'!$A:$A,MATCH($A59,'Smelter Reference List'!$E:$E,0)))</f>
        <v>Tantalum</v>
      </c>
      <c r="C59" s="298" t="str">
        <f ca="1">IF(LEN(A59)=0,"",INDEX('Smelter Reference List'!$C:$C,MATCH($A59,'Smelter Reference List'!$E:$E,0)))</f>
        <v>Guangdong Zhiyuan New Material Co., Ltd.</v>
      </c>
      <c r="D59" s="292" t="str">
        <f ca="1">IF(ISERROR($S59),"",OFFSET('Smelter Reference List'!$C$4,$S59-4,0)&amp;"")</f>
        <v>Guangdong Zhiyuan New Material Co., Ltd.</v>
      </c>
      <c r="E59" s="292" t="str">
        <f ca="1">IF(ISERROR($S59),"",OFFSET('Smelter Reference List'!$D$4,$S59-4,0)&amp;"")</f>
        <v>CHINA</v>
      </c>
      <c r="F59" s="292" t="str">
        <f ca="1">IF(ISERROR($S59),"",OFFSET('Smelter Reference List'!$E$4,$S59-4,0))</f>
        <v>CID000616</v>
      </c>
      <c r="G59" s="292" t="str">
        <f ca="1">IF(C59=$U$4,"Enter smelter details", IF(ISERROR($S59),"",OFFSET('Smelter Reference List'!$F$4,$S59-4,0)))</f>
        <v>CFSI</v>
      </c>
      <c r="H59" s="293">
        <f ca="1">IF(ISERROR($S59),"",OFFSET('Smelter Reference List'!$G$4,$S59-4,0))</f>
        <v>0</v>
      </c>
      <c r="I59" s="294" t="str">
        <f ca="1">IF(ISERROR($S59),"",OFFSET('Smelter Reference List'!$H$4,$S59-4,0))</f>
        <v>Yingde</v>
      </c>
      <c r="J59" s="294" t="str">
        <f ca="1">IF(ISERROR($S59),"",OFFSET('Smelter Reference List'!$I$4,$S59-4,0))</f>
        <v>Guangdong</v>
      </c>
      <c r="K59" s="295"/>
      <c r="L59" s="295"/>
      <c r="M59" s="295"/>
      <c r="N59" s="295"/>
      <c r="O59" s="295"/>
      <c r="P59" s="295"/>
      <c r="Q59" s="296"/>
      <c r="R59" s="227"/>
      <c r="S59" s="228">
        <f ca="1">IF(C59="",NA(),MATCH($B59&amp;$C59,'Smelter Reference List'!$J:$J,0))</f>
        <v>258</v>
      </c>
      <c r="T59" s="229"/>
      <c r="U59" s="229">
        <f t="shared" ca="1" si="2"/>
        <v>0</v>
      </c>
      <c r="V59" s="229"/>
      <c r="W59" s="229"/>
      <c r="Y59" s="223" t="str">
        <f t="shared" ca="1" si="3"/>
        <v>TantalumGuangdong Zhiyuan New Material Co., Ltd.</v>
      </c>
    </row>
    <row r="60" spans="1:25" s="223" customFormat="1" ht="20.25">
      <c r="A60" s="291" t="s">
        <v>712</v>
      </c>
      <c r="B60" s="292" t="str">
        <f ca="1">IF(LEN(A60)=0,"",INDEX('Smelter Reference List'!$A:$A,MATCH($A60,'Smelter Reference List'!$E:$E,0)))</f>
        <v>Gold</v>
      </c>
      <c r="C60" s="298" t="str">
        <f ca="1">IF(LEN(A60)=0,"",INDEX('Smelter Reference List'!$C:$C,MATCH($A60,'Smelter Reference List'!$E:$E,0)))</f>
        <v>Hangzhou Fuchunjiang Smelting Co., Ltd.</v>
      </c>
      <c r="D60" s="292" t="str">
        <f ca="1">IF(ISERROR($S60),"",OFFSET('Smelter Reference List'!$C$4,$S60-4,0)&amp;"")</f>
        <v>Hangzhou Fuchunjiang Smelting Co., Ltd.</v>
      </c>
      <c r="E60" s="292" t="str">
        <f ca="1">IF(ISERROR($S60),"",OFFSET('Smelter Reference List'!$D$4,$S60-4,0)&amp;"")</f>
        <v>CHINA</v>
      </c>
      <c r="F60" s="292" t="str">
        <f ca="1">IF(ISERROR($S60),"",OFFSET('Smelter Reference List'!$E$4,$S60-4,0))</f>
        <v>CID000671</v>
      </c>
      <c r="G60" s="292" t="str">
        <f ca="1">IF(C60=$U$4,"Enter smelter details", IF(ISERROR($S60),"",OFFSET('Smelter Reference List'!$F$4,$S60-4,0)))</f>
        <v>CFSI</v>
      </c>
      <c r="H60" s="293">
        <f ca="1">IF(ISERROR($S60),"",OFFSET('Smelter Reference List'!$G$4,$S60-4,0))</f>
        <v>0</v>
      </c>
      <c r="I60" s="294" t="str">
        <f ca="1">IF(ISERROR($S60),"",OFFSET('Smelter Reference List'!$H$4,$S60-4,0))</f>
        <v>Fuyang</v>
      </c>
      <c r="J60" s="294" t="str">
        <f ca="1">IF(ISERROR($S60),"",OFFSET('Smelter Reference List'!$I$4,$S60-4,0))</f>
        <v>Zhejiang</v>
      </c>
      <c r="K60" s="295"/>
      <c r="L60" s="295"/>
      <c r="M60" s="295"/>
      <c r="N60" s="295"/>
      <c r="O60" s="295"/>
      <c r="P60" s="295"/>
      <c r="Q60" s="296"/>
      <c r="R60" s="227"/>
      <c r="S60" s="228">
        <f ca="1">IF(C60="",NA(),MATCH($B60&amp;$C60,'Smelter Reference List'!$J:$J,0))</f>
        <v>71</v>
      </c>
      <c r="T60" s="229"/>
      <c r="U60" s="229">
        <f t="shared" ca="1" si="2"/>
        <v>0</v>
      </c>
      <c r="V60" s="229"/>
      <c r="W60" s="229"/>
      <c r="Y60" s="223" t="str">
        <f t="shared" ca="1" si="3"/>
        <v>GoldHangzhou Fuchunjiang Smelting Co., Ltd.</v>
      </c>
    </row>
    <row r="61" spans="1:25" s="223" customFormat="1" ht="20.25">
      <c r="A61" s="291" t="s">
        <v>1241</v>
      </c>
      <c r="B61" s="292" t="str">
        <f ca="1">IF(LEN(A61)=0,"",INDEX('Smelter Reference List'!$A:$A,MATCH($A61,'Smelter Reference List'!$E:$E,0)))</f>
        <v>Gold</v>
      </c>
      <c r="C61" s="298" t="str">
        <f ca="1">IF(LEN(A61)=0,"",INDEX('Smelter Reference List'!$C:$C,MATCH($A61,'Smelter Reference List'!$E:$E,0)))</f>
        <v>Heimerle + Meule GmbH</v>
      </c>
      <c r="D61" s="292" t="str">
        <f ca="1">IF(ISERROR($S61),"",OFFSET('Smelter Reference List'!$C$4,$S61-4,0)&amp;"")</f>
        <v>Heimerle + Meule GmbH</v>
      </c>
      <c r="E61" s="292" t="str">
        <f ca="1">IF(ISERROR($S61),"",OFFSET('Smelter Reference List'!$D$4,$S61-4,0)&amp;"")</f>
        <v>GERMANY</v>
      </c>
      <c r="F61" s="292" t="str">
        <f ca="1">IF(ISERROR($S61),"",OFFSET('Smelter Reference List'!$E$4,$S61-4,0))</f>
        <v>CID000694</v>
      </c>
      <c r="G61" s="292" t="str">
        <f ca="1">IF(C61=$U$4,"Enter smelter details", IF(ISERROR($S61),"",OFFSET('Smelter Reference List'!$F$4,$S61-4,0)))</f>
        <v>CFSI</v>
      </c>
      <c r="H61" s="293">
        <f ca="1">IF(ISERROR($S61),"",OFFSET('Smelter Reference List'!$G$4,$S61-4,0))</f>
        <v>0</v>
      </c>
      <c r="I61" s="294" t="str">
        <f ca="1">IF(ISERROR($S61),"",OFFSET('Smelter Reference List'!$H$4,$S61-4,0))</f>
        <v>Pforzheim</v>
      </c>
      <c r="J61" s="294" t="str">
        <f ca="1">IF(ISERROR($S61),"",OFFSET('Smelter Reference List'!$I$4,$S61-4,0))</f>
        <v>Baden-Württemberg</v>
      </c>
      <c r="K61" s="295"/>
      <c r="L61" s="295"/>
      <c r="M61" s="295"/>
      <c r="N61" s="295"/>
      <c r="O61" s="295"/>
      <c r="P61" s="295"/>
      <c r="Q61" s="296"/>
      <c r="R61" s="227"/>
      <c r="S61" s="228">
        <f ca="1">IF(C61="",NA(),MATCH($B61&amp;$C61,'Smelter Reference List'!$J:$J,0))</f>
        <v>72</v>
      </c>
      <c r="T61" s="229"/>
      <c r="U61" s="229">
        <f t="shared" ca="1" si="2"/>
        <v>0</v>
      </c>
      <c r="V61" s="229"/>
      <c r="W61" s="229"/>
      <c r="Y61" s="223" t="str">
        <f t="shared" ca="1" si="3"/>
        <v>GoldHeimerle + Meule GmbH</v>
      </c>
    </row>
    <row r="62" spans="1:25" s="223" customFormat="1" ht="20.25">
      <c r="A62" s="291" t="s">
        <v>1242</v>
      </c>
      <c r="B62" s="292" t="str">
        <f ca="1">IF(LEN(A62)=0,"",INDEX('Smelter Reference List'!$A:$A,MATCH($A62,'Smelter Reference List'!$E:$E,0)))</f>
        <v>Gold</v>
      </c>
      <c r="C62" s="298" t="str">
        <f ca="1">IF(LEN(A62)=0,"",INDEX('Smelter Reference List'!$C:$C,MATCH($A62,'Smelter Reference List'!$E:$E,0)))</f>
        <v>Heraeus Ltd. Hong Kong</v>
      </c>
      <c r="D62" s="292" t="str">
        <f ca="1">IF(ISERROR($S62),"",OFFSET('Smelter Reference List'!$C$4,$S62-4,0)&amp;"")</f>
        <v>Heraeus Ltd. Hong Kong</v>
      </c>
      <c r="E62" s="292" t="str">
        <f ca="1">IF(ISERROR($S62),"",OFFSET('Smelter Reference List'!$D$4,$S62-4,0)&amp;"")</f>
        <v>CHINA</v>
      </c>
      <c r="F62" s="292" t="str">
        <f ca="1">IF(ISERROR($S62),"",OFFSET('Smelter Reference List'!$E$4,$S62-4,0))</f>
        <v>CID000707</v>
      </c>
      <c r="G62" s="292" t="str">
        <f ca="1">IF(C62=$U$4,"Enter smelter details", IF(ISERROR($S62),"",OFFSET('Smelter Reference List'!$F$4,$S62-4,0)))</f>
        <v>CFSI</v>
      </c>
      <c r="H62" s="293">
        <f ca="1">IF(ISERROR($S62),"",OFFSET('Smelter Reference List'!$G$4,$S62-4,0))</f>
        <v>0</v>
      </c>
      <c r="I62" s="294" t="str">
        <f ca="1">IF(ISERROR($S62),"",OFFSET('Smelter Reference List'!$H$4,$S62-4,0))</f>
        <v>Fanling</v>
      </c>
      <c r="J62" s="294" t="str">
        <f ca="1">IF(ISERROR($S62),"",OFFSET('Smelter Reference List'!$I$4,$S62-4,0))</f>
        <v>Hong Kong</v>
      </c>
      <c r="K62" s="295"/>
      <c r="L62" s="295"/>
      <c r="M62" s="295"/>
      <c r="N62" s="295"/>
      <c r="O62" s="295"/>
      <c r="P62" s="295"/>
      <c r="Q62" s="296"/>
      <c r="R62" s="227"/>
      <c r="S62" s="228">
        <f ca="1">IF(C62="",NA(),MATCH($B62&amp;$C62,'Smelter Reference List'!$J:$J,0))</f>
        <v>76</v>
      </c>
      <c r="T62" s="229"/>
      <c r="U62" s="229">
        <f t="shared" ca="1" si="2"/>
        <v>0</v>
      </c>
      <c r="V62" s="229"/>
      <c r="W62" s="229"/>
      <c r="Y62" s="223" t="str">
        <f t="shared" ca="1" si="3"/>
        <v>GoldHeraeus Ltd. Hong Kong</v>
      </c>
    </row>
    <row r="63" spans="1:25" s="223" customFormat="1" ht="20.25">
      <c r="A63" s="291" t="s">
        <v>1243</v>
      </c>
      <c r="B63" s="292" t="str">
        <f ca="1">IF(LEN(A63)=0,"",INDEX('Smelter Reference List'!$A:$A,MATCH($A63,'Smelter Reference List'!$E:$E,0)))</f>
        <v>Gold</v>
      </c>
      <c r="C63" s="298" t="str">
        <f ca="1">IF(LEN(A63)=0,"",INDEX('Smelter Reference List'!$C:$C,MATCH($A63,'Smelter Reference List'!$E:$E,0)))</f>
        <v>Heraeus Precious Metals GmbH &amp; Co. KG</v>
      </c>
      <c r="D63" s="292" t="str">
        <f ca="1">IF(ISERROR($S63),"",OFFSET('Smelter Reference List'!$C$4,$S63-4,0)&amp;"")</f>
        <v>Heraeus Precious Metals GmbH &amp; Co. KG</v>
      </c>
      <c r="E63" s="292" t="str">
        <f ca="1">IF(ISERROR($S63),"",OFFSET('Smelter Reference List'!$D$4,$S63-4,0)&amp;"")</f>
        <v>GERMANY</v>
      </c>
      <c r="F63" s="292" t="str">
        <f ca="1">IF(ISERROR($S63),"",OFFSET('Smelter Reference List'!$E$4,$S63-4,0))</f>
        <v>CID000711</v>
      </c>
      <c r="G63" s="292" t="str">
        <f ca="1">IF(C63=$U$4,"Enter smelter details", IF(ISERROR($S63),"",OFFSET('Smelter Reference List'!$F$4,$S63-4,0)))</f>
        <v>CFSI</v>
      </c>
      <c r="H63" s="293">
        <f ca="1">IF(ISERROR($S63),"",OFFSET('Smelter Reference List'!$G$4,$S63-4,0))</f>
        <v>0</v>
      </c>
      <c r="I63" s="294" t="str">
        <f ca="1">IF(ISERROR($S63),"",OFFSET('Smelter Reference List'!$H$4,$S63-4,0))</f>
        <v>Hanau</v>
      </c>
      <c r="J63" s="294" t="str">
        <f ca="1">IF(ISERROR($S63),"",OFFSET('Smelter Reference List'!$I$4,$S63-4,0))</f>
        <v>Hesse</v>
      </c>
      <c r="K63" s="295"/>
      <c r="L63" s="295"/>
      <c r="M63" s="295"/>
      <c r="N63" s="295"/>
      <c r="O63" s="295"/>
      <c r="P63" s="295"/>
      <c r="Q63" s="296"/>
      <c r="R63" s="227"/>
      <c r="S63" s="228">
        <f ca="1">IF(C63="",NA(),MATCH($B63&amp;$C63,'Smelter Reference List'!$J:$J,0))</f>
        <v>77</v>
      </c>
      <c r="T63" s="229"/>
      <c r="U63" s="229">
        <f t="shared" ca="1" si="2"/>
        <v>0</v>
      </c>
      <c r="V63" s="229"/>
      <c r="W63" s="229"/>
      <c r="Y63" s="223" t="str">
        <f t="shared" ca="1" si="3"/>
        <v>GoldHeraeus Precious Metals GmbH &amp; Co. KG</v>
      </c>
    </row>
    <row r="64" spans="1:25" s="223" customFormat="1" ht="20.25">
      <c r="A64" s="291" t="s">
        <v>1322</v>
      </c>
      <c r="B64" s="292" t="str">
        <f ca="1">IF(LEN(A64)=0,"",INDEX('Smelter Reference List'!$A:$A,MATCH($A64,'Smelter Reference List'!$E:$E,0)))</f>
        <v>Tantalum</v>
      </c>
      <c r="C64" s="298" t="str">
        <f ca="1">IF(LEN(A64)=0,"",INDEX('Smelter Reference List'!$C:$C,MATCH($A64,'Smelter Reference List'!$E:$E,0)))</f>
        <v>Hi-Temp Specialty Metals, Inc.</v>
      </c>
      <c r="D64" s="292" t="str">
        <f ca="1">IF(ISERROR($S64),"",OFFSET('Smelter Reference List'!$C$4,$S64-4,0)&amp;"")</f>
        <v>Hi-Temp Specialty Metals, Inc.</v>
      </c>
      <c r="E64" s="292" t="str">
        <f ca="1">IF(ISERROR($S64),"",OFFSET('Smelter Reference List'!$D$4,$S64-4,0)&amp;"")</f>
        <v>UNITED STATES OF AMERICA</v>
      </c>
      <c r="F64" s="292" t="str">
        <f ca="1">IF(ISERROR($S64),"",OFFSET('Smelter Reference List'!$E$4,$S64-4,0))</f>
        <v>CID000731</v>
      </c>
      <c r="G64" s="292" t="str">
        <f ca="1">IF(C64=$U$4,"Enter smelter details", IF(ISERROR($S64),"",OFFSET('Smelter Reference List'!$F$4,$S64-4,0)))</f>
        <v>CFSI</v>
      </c>
      <c r="H64" s="293">
        <f ca="1">IF(ISERROR($S64),"",OFFSET('Smelter Reference List'!$G$4,$S64-4,0))</f>
        <v>0</v>
      </c>
      <c r="I64" s="294" t="str">
        <f ca="1">IF(ISERROR($S64),"",OFFSET('Smelter Reference List'!$H$4,$S64-4,0))</f>
        <v>Yaphank</v>
      </c>
      <c r="J64" s="294" t="str">
        <f ca="1">IF(ISERROR($S64),"",OFFSET('Smelter Reference List'!$I$4,$S64-4,0))</f>
        <v>New York</v>
      </c>
      <c r="K64" s="295"/>
      <c r="L64" s="295"/>
      <c r="M64" s="295"/>
      <c r="N64" s="295"/>
      <c r="O64" s="295"/>
      <c r="P64" s="295"/>
      <c r="Q64" s="296"/>
      <c r="R64" s="227"/>
      <c r="S64" s="228">
        <f ca="1">IF(C64="",NA(),MATCH($B64&amp;$C64,'Smelter Reference List'!$J:$J,0))</f>
        <v>268</v>
      </c>
      <c r="T64" s="229"/>
      <c r="U64" s="229">
        <f t="shared" ca="1" si="2"/>
        <v>0</v>
      </c>
      <c r="V64" s="229"/>
      <c r="W64" s="229"/>
      <c r="Y64" s="223" t="str">
        <f t="shared" ca="1" si="3"/>
        <v>TantalumHi-Temp Specialty Metals, Inc.</v>
      </c>
    </row>
    <row r="65" spans="1:25" s="223" customFormat="1" ht="20.25">
      <c r="A65" s="291" t="s">
        <v>1351</v>
      </c>
      <c r="B65" s="292" t="str">
        <f ca="1">IF(LEN(A65)=0,"",INDEX('Smelter Reference List'!$A:$A,MATCH($A65,'Smelter Reference List'!$E:$E,0)))</f>
        <v>Tin</v>
      </c>
      <c r="C65" s="298" t="str">
        <f ca="1">IF(LEN(A65)=0,"",INDEX('Smelter Reference List'!$C:$C,MATCH($A65,'Smelter Reference List'!$E:$E,0)))</f>
        <v>Huichang Jinshunda Tin Co., Ltd.</v>
      </c>
      <c r="D65" s="292" t="str">
        <f ca="1">IF(ISERROR($S65),"",OFFSET('Smelter Reference List'!$C$4,$S65-4,0)&amp;"")</f>
        <v>Huichang Jinshunda Tin Co., Ltd.</v>
      </c>
      <c r="E65" s="292" t="str">
        <f ca="1">IF(ISERROR($S65),"",OFFSET('Smelter Reference List'!$D$4,$S65-4,0)&amp;"")</f>
        <v>CHINA</v>
      </c>
      <c r="F65" s="292" t="str">
        <f ca="1">IF(ISERROR($S65),"",OFFSET('Smelter Reference List'!$E$4,$S65-4,0))</f>
        <v>CID000760</v>
      </c>
      <c r="G65" s="292" t="str">
        <f ca="1">IF(C65=$U$4,"Enter smelter details", IF(ISERROR($S65),"",OFFSET('Smelter Reference List'!$F$4,$S65-4,0)))</f>
        <v>CFSI</v>
      </c>
      <c r="H65" s="293">
        <f ca="1">IF(ISERROR($S65),"",OFFSET('Smelter Reference List'!$G$4,$S65-4,0))</f>
        <v>0</v>
      </c>
      <c r="I65" s="294" t="str">
        <f ca="1">IF(ISERROR($S65),"",OFFSET('Smelter Reference List'!$H$4,$S65-4,0))</f>
        <v>Ganzhou</v>
      </c>
      <c r="J65" s="294" t="str">
        <f ca="1">IF(ISERROR($S65),"",OFFSET('Smelter Reference List'!$I$4,$S65-4,0))</f>
        <v>Jiangxi</v>
      </c>
      <c r="K65" s="295"/>
      <c r="L65" s="295"/>
      <c r="M65" s="295"/>
      <c r="N65" s="295"/>
      <c r="O65" s="295"/>
      <c r="P65" s="295"/>
      <c r="Q65" s="296"/>
      <c r="R65" s="227"/>
      <c r="S65" s="228">
        <f ca="1">IF(C65="",NA(),MATCH($B65&amp;$C65,'Smelter Reference List'!$J:$J,0))</f>
        <v>368</v>
      </c>
      <c r="T65" s="229"/>
      <c r="U65" s="229">
        <f t="shared" ca="1" si="2"/>
        <v>0</v>
      </c>
      <c r="V65" s="229"/>
      <c r="W65" s="229"/>
      <c r="Y65" s="223" t="str">
        <f t="shared" ca="1" si="3"/>
        <v>TinHuichang Jinshunda Tin Co., Ltd.</v>
      </c>
    </row>
    <row r="66" spans="1:25" s="223" customFormat="1" ht="20.25">
      <c r="A66" s="291" t="s">
        <v>1391</v>
      </c>
      <c r="B66" s="292" t="str">
        <f ca="1">IF(LEN(A66)=0,"",INDEX('Smelter Reference List'!$A:$A,MATCH($A66,'Smelter Reference List'!$E:$E,0)))</f>
        <v>Tungsten</v>
      </c>
      <c r="C66" s="298" t="str">
        <f ca="1">IF(LEN(A66)=0,"",INDEX('Smelter Reference List'!$C:$C,MATCH($A66,'Smelter Reference List'!$E:$E,0)))</f>
        <v>Hunan Chenzhou Mining Co., Ltd.</v>
      </c>
      <c r="D66" s="292" t="str">
        <f ca="1">IF(ISERROR($S66),"",OFFSET('Smelter Reference List'!$C$4,$S66-4,0)&amp;"")</f>
        <v>Hunan Chenzhou Mining Co., Ltd.</v>
      </c>
      <c r="E66" s="292" t="str">
        <f ca="1">IF(ISERROR($S66),"",OFFSET('Smelter Reference List'!$D$4,$S66-4,0)&amp;"")</f>
        <v>CHINA</v>
      </c>
      <c r="F66" s="292" t="str">
        <f ca="1">IF(ISERROR($S66),"",OFFSET('Smelter Reference List'!$E$4,$S66-4,0))</f>
        <v>CID000766</v>
      </c>
      <c r="G66" s="292" t="str">
        <f ca="1">IF(C66=$U$4,"Enter smelter details", IF(ISERROR($S66),"",OFFSET('Smelter Reference List'!$F$4,$S66-4,0)))</f>
        <v>CFSI</v>
      </c>
      <c r="H66" s="293">
        <f ca="1">IF(ISERROR($S66),"",OFFSET('Smelter Reference List'!$G$4,$S66-4,0))</f>
        <v>0</v>
      </c>
      <c r="I66" s="294" t="str">
        <f ca="1">IF(ISERROR($S66),"",OFFSET('Smelter Reference List'!$H$4,$S66-4,0))</f>
        <v>Yuanling</v>
      </c>
      <c r="J66" s="294" t="str">
        <f ca="1">IF(ISERROR($S66),"",OFFSET('Smelter Reference List'!$I$4,$S66-4,0))</f>
        <v>Hunan</v>
      </c>
      <c r="K66" s="295"/>
      <c r="L66" s="295"/>
      <c r="M66" s="295"/>
      <c r="N66" s="295"/>
      <c r="O66" s="295"/>
      <c r="P66" s="295"/>
      <c r="Q66" s="296"/>
      <c r="R66" s="227"/>
      <c r="S66" s="228">
        <f ca="1">IF(C66="",NA(),MATCH($B66&amp;$C66,'Smelter Reference List'!$J:$J,0))</f>
        <v>491</v>
      </c>
      <c r="T66" s="229"/>
      <c r="U66" s="229">
        <f t="shared" ca="1" si="2"/>
        <v>0</v>
      </c>
      <c r="V66" s="229"/>
      <c r="W66" s="229"/>
      <c r="Y66" s="223" t="str">
        <f t="shared" ca="1" si="3"/>
        <v>TungstenHunan Chenzhou Mining Co., Ltd.</v>
      </c>
    </row>
    <row r="67" spans="1:25" s="223" customFormat="1" ht="20.25">
      <c r="A67" s="291" t="s">
        <v>1244</v>
      </c>
      <c r="B67" s="292" t="str">
        <f ca="1">IF(LEN(A67)=0,"",INDEX('Smelter Reference List'!$A:$A,MATCH($A67,'Smelter Reference List'!$E:$E,0)))</f>
        <v>Gold</v>
      </c>
      <c r="C67" s="298" t="str">
        <f ca="1">IF(LEN(A67)=0,"",INDEX('Smelter Reference List'!$C:$C,MATCH($A67,'Smelter Reference List'!$E:$E,0)))</f>
        <v>Hunan Chenzhou Mining Co., Ltd.</v>
      </c>
      <c r="D67" s="292" t="str">
        <f ca="1">IF(ISERROR($S67),"",OFFSET('Smelter Reference List'!$C$4,$S67-4,0)&amp;"")</f>
        <v>Hunan Chenzhou Mining Co., Ltd.</v>
      </c>
      <c r="E67" s="292" t="str">
        <f ca="1">IF(ISERROR($S67),"",OFFSET('Smelter Reference List'!$D$4,$S67-4,0)&amp;"")</f>
        <v>CHINA</v>
      </c>
      <c r="F67" s="292" t="str">
        <f ca="1">IF(ISERROR($S67),"",OFFSET('Smelter Reference List'!$E$4,$S67-4,0))</f>
        <v>CID000767</v>
      </c>
      <c r="G67" s="292" t="str">
        <f ca="1">IF(C67=$U$4,"Enter smelter details", IF(ISERROR($S67),"",OFFSET('Smelter Reference List'!$F$4,$S67-4,0)))</f>
        <v>CFSI</v>
      </c>
      <c r="H67" s="293">
        <f ca="1">IF(ISERROR($S67),"",OFFSET('Smelter Reference List'!$G$4,$S67-4,0))</f>
        <v>0</v>
      </c>
      <c r="I67" s="294" t="str">
        <f ca="1">IF(ISERROR($S67),"",OFFSET('Smelter Reference List'!$H$4,$S67-4,0))</f>
        <v>Yuanling</v>
      </c>
      <c r="J67" s="294" t="str">
        <f ca="1">IF(ISERROR($S67),"",OFFSET('Smelter Reference List'!$I$4,$S67-4,0))</f>
        <v>Hunan</v>
      </c>
      <c r="K67" s="295"/>
      <c r="L67" s="295"/>
      <c r="M67" s="295"/>
      <c r="N67" s="295"/>
      <c r="O67" s="295"/>
      <c r="P67" s="295"/>
      <c r="Q67" s="296"/>
      <c r="R67" s="227"/>
      <c r="S67" s="228">
        <f ca="1">IF(C67="",NA(),MATCH($B67&amp;$C67,'Smelter Reference List'!$J:$J,0))</f>
        <v>78</v>
      </c>
      <c r="T67" s="229"/>
      <c r="U67" s="229">
        <f t="shared" ca="1" si="2"/>
        <v>0</v>
      </c>
      <c r="V67" s="229"/>
      <c r="W67" s="229"/>
      <c r="Y67" s="223" t="str">
        <f t="shared" ca="1" si="3"/>
        <v>GoldHunan Chenzhou Mining Co., Ltd.</v>
      </c>
    </row>
    <row r="68" spans="1:25" s="223" customFormat="1" ht="20.25">
      <c r="A68" s="291" t="s">
        <v>1392</v>
      </c>
      <c r="B68" s="292" t="str">
        <f ca="1">IF(LEN(A68)=0,"",INDEX('Smelter Reference List'!$A:$A,MATCH($A68,'Smelter Reference List'!$E:$E,0)))</f>
        <v>Tungsten</v>
      </c>
      <c r="C68" s="298" t="str">
        <f ca="1">IF(LEN(A68)=0,"",INDEX('Smelter Reference List'!$C:$C,MATCH($A68,'Smelter Reference List'!$E:$E,0)))</f>
        <v>Hunan Chunchang Nonferrous Metals Co., Ltd.</v>
      </c>
      <c r="D68" s="292" t="str">
        <f ca="1">IF(ISERROR($S68),"",OFFSET('Smelter Reference List'!$C$4,$S68-4,0)&amp;"")</f>
        <v>Hunan Chunchang Nonferrous Metals Co., Ltd.</v>
      </c>
      <c r="E68" s="292" t="str">
        <f ca="1">IF(ISERROR($S68),"",OFFSET('Smelter Reference List'!$D$4,$S68-4,0)&amp;"")</f>
        <v>CHINA</v>
      </c>
      <c r="F68" s="292" t="str">
        <f ca="1">IF(ISERROR($S68),"",OFFSET('Smelter Reference List'!$E$4,$S68-4,0))</f>
        <v>CID000769</v>
      </c>
      <c r="G68" s="292" t="str">
        <f ca="1">IF(C68=$U$4,"Enter smelter details", IF(ISERROR($S68),"",OFFSET('Smelter Reference List'!$F$4,$S68-4,0)))</f>
        <v>CFSI</v>
      </c>
      <c r="H68" s="293">
        <f ca="1">IF(ISERROR($S68),"",OFFSET('Smelter Reference List'!$G$4,$S68-4,0))</f>
        <v>0</v>
      </c>
      <c r="I68" s="294" t="str">
        <f ca="1">IF(ISERROR($S68),"",OFFSET('Smelter Reference List'!$H$4,$S68-4,0))</f>
        <v>Hengyang</v>
      </c>
      <c r="J68" s="294" t="str">
        <f ca="1">IF(ISERROR($S68),"",OFFSET('Smelter Reference List'!$I$4,$S68-4,0))</f>
        <v>Hunan</v>
      </c>
      <c r="K68" s="295"/>
      <c r="L68" s="295"/>
      <c r="M68" s="295"/>
      <c r="N68" s="295"/>
      <c r="O68" s="295"/>
      <c r="P68" s="295"/>
      <c r="Q68" s="296"/>
      <c r="R68" s="227"/>
      <c r="S68" s="228">
        <f ca="1">IF(C68="",NA(),MATCH($B68&amp;$C68,'Smelter Reference List'!$J:$J,0))</f>
        <v>494</v>
      </c>
      <c r="T68" s="229"/>
      <c r="U68" s="229">
        <f t="shared" ca="1" si="2"/>
        <v>0</v>
      </c>
      <c r="V68" s="229"/>
      <c r="W68" s="229"/>
      <c r="Y68" s="223" t="str">
        <f t="shared" ca="1" si="3"/>
        <v>TungstenHunan Chunchang Nonferrous Metals Co., Ltd.</v>
      </c>
    </row>
    <row r="69" spans="1:25" s="223" customFormat="1" ht="20.25">
      <c r="A69" s="291" t="s">
        <v>1245</v>
      </c>
      <c r="B69" s="292" t="str">
        <f ca="1">IF(LEN(A69)=0,"",INDEX('Smelter Reference List'!$A:$A,MATCH($A69,'Smelter Reference List'!$E:$E,0)))</f>
        <v>Gold</v>
      </c>
      <c r="C69" s="298" t="str">
        <f ca="1">IF(LEN(A69)=0,"",INDEX('Smelter Reference List'!$C:$C,MATCH($A69,'Smelter Reference List'!$E:$E,0)))</f>
        <v>HwaSeong CJ Co., Ltd.</v>
      </c>
      <c r="D69" s="292" t="str">
        <f ca="1">IF(ISERROR($S69),"",OFFSET('Smelter Reference List'!$C$4,$S69-4,0)&amp;"")</f>
        <v>HwaSeong CJ Co., Ltd.</v>
      </c>
      <c r="E69" s="292" t="str">
        <f ca="1">IF(ISERROR($S69),"",OFFSET('Smelter Reference List'!$D$4,$S69-4,0)&amp;"")</f>
        <v>KOREA (REPUBLIC OF)</v>
      </c>
      <c r="F69" s="292" t="str">
        <f ca="1">IF(ISERROR($S69),"",OFFSET('Smelter Reference List'!$E$4,$S69-4,0))</f>
        <v>CID000778</v>
      </c>
      <c r="G69" s="292" t="str">
        <f ca="1">IF(C69=$U$4,"Enter smelter details", IF(ISERROR($S69),"",OFFSET('Smelter Reference List'!$F$4,$S69-4,0)))</f>
        <v>CFSI</v>
      </c>
      <c r="H69" s="293">
        <f ca="1">IF(ISERROR($S69),"",OFFSET('Smelter Reference List'!$G$4,$S69-4,0))</f>
        <v>0</v>
      </c>
      <c r="I69" s="294" t="str">
        <f ca="1">IF(ISERROR($S69),"",OFFSET('Smelter Reference List'!$H$4,$S69-4,0))</f>
        <v>Danwon</v>
      </c>
      <c r="J69" s="294" t="str">
        <f ca="1">IF(ISERROR($S69),"",OFFSET('Smelter Reference List'!$I$4,$S69-4,0))</f>
        <v>Gyeonggi</v>
      </c>
      <c r="K69" s="295"/>
      <c r="L69" s="295"/>
      <c r="M69" s="295"/>
      <c r="N69" s="295"/>
      <c r="O69" s="295"/>
      <c r="P69" s="295"/>
      <c r="Q69" s="296"/>
      <c r="R69" s="227"/>
      <c r="S69" s="228">
        <f ca="1">IF(C69="",NA(),MATCH($B69&amp;$C69,'Smelter Reference List'!$J:$J,0))</f>
        <v>81</v>
      </c>
      <c r="T69" s="229"/>
      <c r="U69" s="229">
        <f t="shared" ca="1" si="2"/>
        <v>0</v>
      </c>
      <c r="V69" s="229"/>
      <c r="W69" s="229"/>
      <c r="Y69" s="223" t="str">
        <f t="shared" ca="1" si="3"/>
        <v>GoldHwaSeong CJ Co., Ltd.</v>
      </c>
    </row>
    <row r="70" spans="1:25" s="223" customFormat="1" ht="20.25">
      <c r="A70" s="291" t="s">
        <v>1246</v>
      </c>
      <c r="B70" s="292" t="str">
        <f ca="1">IF(LEN(A70)=0,"",INDEX('Smelter Reference List'!$A:$A,MATCH($A70,'Smelter Reference List'!$E:$E,0)))</f>
        <v>Gold</v>
      </c>
      <c r="C70" s="298" t="str">
        <f ca="1">IF(LEN(A70)=0,"",INDEX('Smelter Reference List'!$C:$C,MATCH($A70,'Smelter Reference List'!$E:$E,0)))</f>
        <v>Inner Mongolia Qiankun Gold and Silver Refinery Share Co., Ltd.</v>
      </c>
      <c r="D70" s="292" t="str">
        <f ca="1">IF(ISERROR($S70),"",OFFSET('Smelter Reference List'!$C$4,$S70-4,0)&amp;"")</f>
        <v>Inner Mongolia Qiankun Gold and Silver Refinery Share Co., Ltd.</v>
      </c>
      <c r="E70" s="292" t="str">
        <f ca="1">IF(ISERROR($S70),"",OFFSET('Smelter Reference List'!$D$4,$S70-4,0)&amp;"")</f>
        <v>CHINA</v>
      </c>
      <c r="F70" s="292" t="str">
        <f ca="1">IF(ISERROR($S70),"",OFFSET('Smelter Reference List'!$E$4,$S70-4,0))</f>
        <v>CID000801</v>
      </c>
      <c r="G70" s="292" t="str">
        <f ca="1">IF(C70=$U$4,"Enter smelter details", IF(ISERROR($S70),"",OFFSET('Smelter Reference List'!$F$4,$S70-4,0)))</f>
        <v>CFSI</v>
      </c>
      <c r="H70" s="293">
        <f ca="1">IF(ISERROR($S70),"",OFFSET('Smelter Reference List'!$G$4,$S70-4,0))</f>
        <v>0</v>
      </c>
      <c r="I70" s="294" t="str">
        <f ca="1">IF(ISERROR($S70),"",OFFSET('Smelter Reference List'!$H$4,$S70-4,0))</f>
        <v>Hohhot</v>
      </c>
      <c r="J70" s="294" t="str">
        <f ca="1">IF(ISERROR($S70),"",OFFSET('Smelter Reference List'!$I$4,$S70-4,0))</f>
        <v>Inner Mongolia</v>
      </c>
      <c r="K70" s="295"/>
      <c r="L70" s="295"/>
      <c r="M70" s="295"/>
      <c r="N70" s="295"/>
      <c r="O70" s="295"/>
      <c r="P70" s="295"/>
      <c r="Q70" s="296"/>
      <c r="R70" s="227"/>
      <c r="S70" s="228">
        <f ca="1">IF(C70="",NA(),MATCH($B70&amp;$C70,'Smelter Reference List'!$J:$J,0))</f>
        <v>82</v>
      </c>
      <c r="T70" s="229"/>
      <c r="U70" s="229">
        <f t="shared" ref="U70:U132" ca="1" si="4">IF(AND(C70="Smelter not listed",OR(LEN(D70)=0,LEN(E70)=0)),1,0)</f>
        <v>0</v>
      </c>
      <c r="V70" s="229"/>
      <c r="W70" s="229"/>
      <c r="Y70" s="223" t="str">
        <f t="shared" ref="Y70:Y132" ca="1" si="5">B70&amp;C70</f>
        <v>GoldInner Mongolia Qiankun Gold and Silver Refinery Share Co., Ltd.</v>
      </c>
    </row>
    <row r="71" spans="1:25" s="223" customFormat="1" ht="20.25">
      <c r="A71" s="291" t="s">
        <v>1247</v>
      </c>
      <c r="B71" s="292" t="str">
        <f ca="1">IF(LEN(A71)=0,"",INDEX('Smelter Reference List'!$A:$A,MATCH($A71,'Smelter Reference List'!$E:$E,0)))</f>
        <v>Gold</v>
      </c>
      <c r="C71" s="298" t="str">
        <f ca="1">IF(LEN(A71)=0,"",INDEX('Smelter Reference List'!$C:$C,MATCH($A71,'Smelter Reference List'!$E:$E,0)))</f>
        <v>Ishifuku Metal Industry Co., Ltd.</v>
      </c>
      <c r="D71" s="292" t="str">
        <f ca="1">IF(ISERROR($S71),"",OFFSET('Smelter Reference List'!$C$4,$S71-4,0)&amp;"")</f>
        <v>Ishifuku Metal Industry Co., Ltd.</v>
      </c>
      <c r="E71" s="292" t="str">
        <f ca="1">IF(ISERROR($S71),"",OFFSET('Smelter Reference List'!$D$4,$S71-4,0)&amp;"")</f>
        <v>JAPAN</v>
      </c>
      <c r="F71" s="292" t="str">
        <f ca="1">IF(ISERROR($S71),"",OFFSET('Smelter Reference List'!$E$4,$S71-4,0))</f>
        <v>CID000807</v>
      </c>
      <c r="G71" s="292" t="str">
        <f ca="1">IF(C71=$U$4,"Enter smelter details", IF(ISERROR($S71),"",OFFSET('Smelter Reference List'!$F$4,$S71-4,0)))</f>
        <v>CFSI</v>
      </c>
      <c r="H71" s="293">
        <f ca="1">IF(ISERROR($S71),"",OFFSET('Smelter Reference List'!$G$4,$S71-4,0))</f>
        <v>0</v>
      </c>
      <c r="I71" s="294" t="str">
        <f ca="1">IF(ISERROR($S71),"",OFFSET('Smelter Reference List'!$H$4,$S71-4,0))</f>
        <v>Soka</v>
      </c>
      <c r="J71" s="294" t="str">
        <f ca="1">IF(ISERROR($S71),"",OFFSET('Smelter Reference List'!$I$4,$S71-4,0))</f>
        <v>Saitama</v>
      </c>
      <c r="K71" s="295"/>
      <c r="L71" s="295"/>
      <c r="M71" s="295"/>
      <c r="N71" s="295"/>
      <c r="O71" s="295"/>
      <c r="P71" s="295"/>
      <c r="Q71" s="296"/>
      <c r="R71" s="227"/>
      <c r="S71" s="228">
        <f ca="1">IF(C71="",NA(),MATCH($B71&amp;$C71,'Smelter Reference List'!$J:$J,0))</f>
        <v>83</v>
      </c>
      <c r="T71" s="229"/>
      <c r="U71" s="229">
        <f t="shared" ca="1" si="4"/>
        <v>0</v>
      </c>
      <c r="V71" s="229"/>
      <c r="W71" s="229"/>
      <c r="Y71" s="223" t="str">
        <f t="shared" ca="1" si="5"/>
        <v>GoldIshifuku Metal Industry Co., Ltd.</v>
      </c>
    </row>
    <row r="72" spans="1:25" s="223" customFormat="1" ht="20.25">
      <c r="A72" s="291" t="s">
        <v>1248</v>
      </c>
      <c r="B72" s="292" t="str">
        <f ca="1">IF(LEN(A72)=0,"",INDEX('Smelter Reference List'!$A:$A,MATCH($A72,'Smelter Reference List'!$E:$E,0)))</f>
        <v>Gold</v>
      </c>
      <c r="C72" s="298" t="str">
        <f ca="1">IF(LEN(A72)=0,"",INDEX('Smelter Reference List'!$C:$C,MATCH($A72,'Smelter Reference List'!$E:$E,0)))</f>
        <v>Istanbul Gold Refinery</v>
      </c>
      <c r="D72" s="292" t="str">
        <f ca="1">IF(ISERROR($S72),"",OFFSET('Smelter Reference List'!$C$4,$S72-4,0)&amp;"")</f>
        <v>Istanbul Gold Refinery</v>
      </c>
      <c r="E72" s="292" t="str">
        <f ca="1">IF(ISERROR($S72),"",OFFSET('Smelter Reference List'!$D$4,$S72-4,0)&amp;"")</f>
        <v>TURKEY</v>
      </c>
      <c r="F72" s="292" t="str">
        <f ca="1">IF(ISERROR($S72),"",OFFSET('Smelter Reference List'!$E$4,$S72-4,0))</f>
        <v>CID000814</v>
      </c>
      <c r="G72" s="292" t="str">
        <f ca="1">IF(C72=$U$4,"Enter smelter details", IF(ISERROR($S72),"",OFFSET('Smelter Reference List'!$F$4,$S72-4,0)))</f>
        <v>CFSI</v>
      </c>
      <c r="H72" s="293">
        <f ca="1">IF(ISERROR($S72),"",OFFSET('Smelter Reference List'!$G$4,$S72-4,0))</f>
        <v>0</v>
      </c>
      <c r="I72" s="294" t="str">
        <f ca="1">IF(ISERROR($S72),"",OFFSET('Smelter Reference List'!$H$4,$S72-4,0))</f>
        <v>Kuyumcukent</v>
      </c>
      <c r="J72" s="294" t="str">
        <f ca="1">IF(ISERROR($S72),"",OFFSET('Smelter Reference List'!$I$4,$S72-4,0))</f>
        <v>Istanbul</v>
      </c>
      <c r="K72" s="295"/>
      <c r="L72" s="295"/>
      <c r="M72" s="295"/>
      <c r="N72" s="295"/>
      <c r="O72" s="295"/>
      <c r="P72" s="295"/>
      <c r="Q72" s="296"/>
      <c r="R72" s="227"/>
      <c r="S72" s="228">
        <f ca="1">IF(C72="",NA(),MATCH($B72&amp;$C72,'Smelter Reference List'!$J:$J,0))</f>
        <v>84</v>
      </c>
      <c r="T72" s="229"/>
      <c r="U72" s="229">
        <f t="shared" ca="1" si="4"/>
        <v>0</v>
      </c>
      <c r="V72" s="229"/>
      <c r="W72" s="229"/>
      <c r="Y72" s="223" t="str">
        <f t="shared" ca="1" si="5"/>
        <v>GoldIstanbul Gold Refinery</v>
      </c>
    </row>
    <row r="73" spans="1:25" s="223" customFormat="1" ht="20.25">
      <c r="A73" s="291" t="s">
        <v>1249</v>
      </c>
      <c r="B73" s="292" t="str">
        <f ca="1">IF(LEN(A73)=0,"",INDEX('Smelter Reference List'!$A:$A,MATCH($A73,'Smelter Reference List'!$E:$E,0)))</f>
        <v>Gold</v>
      </c>
      <c r="C73" s="298" t="str">
        <f ca="1">IF(LEN(A73)=0,"",INDEX('Smelter Reference List'!$C:$C,MATCH($A73,'Smelter Reference List'!$E:$E,0)))</f>
        <v>Japan Mint</v>
      </c>
      <c r="D73" s="292" t="str">
        <f ca="1">IF(ISERROR($S73),"",OFFSET('Smelter Reference List'!$C$4,$S73-4,0)&amp;"")</f>
        <v>Japan Mint</v>
      </c>
      <c r="E73" s="292" t="str">
        <f ca="1">IF(ISERROR($S73),"",OFFSET('Smelter Reference List'!$D$4,$S73-4,0)&amp;"")</f>
        <v>JAPAN</v>
      </c>
      <c r="F73" s="292" t="str">
        <f ca="1">IF(ISERROR($S73),"",OFFSET('Smelter Reference List'!$E$4,$S73-4,0))</f>
        <v>CID000823</v>
      </c>
      <c r="G73" s="292" t="str">
        <f ca="1">IF(C73=$U$4,"Enter smelter details", IF(ISERROR($S73),"",OFFSET('Smelter Reference List'!$F$4,$S73-4,0)))</f>
        <v>CFSI</v>
      </c>
      <c r="H73" s="293">
        <f ca="1">IF(ISERROR($S73),"",OFFSET('Smelter Reference List'!$G$4,$S73-4,0))</f>
        <v>0</v>
      </c>
      <c r="I73" s="294" t="str">
        <f ca="1">IF(ISERROR($S73),"",OFFSET('Smelter Reference List'!$H$4,$S73-4,0))</f>
        <v>Osaka</v>
      </c>
      <c r="J73" s="294" t="str">
        <f ca="1">IF(ISERROR($S73),"",OFFSET('Smelter Reference List'!$I$4,$S73-4,0))</f>
        <v>Kansai</v>
      </c>
      <c r="K73" s="295"/>
      <c r="L73" s="295"/>
      <c r="M73" s="295"/>
      <c r="N73" s="295"/>
      <c r="O73" s="295"/>
      <c r="P73" s="295"/>
      <c r="Q73" s="296"/>
      <c r="R73" s="227"/>
      <c r="S73" s="228">
        <f ca="1">IF(C73="",NA(),MATCH($B73&amp;$C73,'Smelter Reference List'!$J:$J,0))</f>
        <v>85</v>
      </c>
      <c r="T73" s="229"/>
      <c r="U73" s="229">
        <f t="shared" ca="1" si="4"/>
        <v>0</v>
      </c>
      <c r="V73" s="229"/>
      <c r="W73" s="229"/>
      <c r="Y73" s="223" t="str">
        <f t="shared" ca="1" si="5"/>
        <v>GoldJapan Mint</v>
      </c>
    </row>
    <row r="74" spans="1:25" s="223" customFormat="1" ht="20.25">
      <c r="A74" s="291" t="s">
        <v>1393</v>
      </c>
      <c r="B74" s="292" t="str">
        <f ca="1">IF(LEN(A74)=0,"",INDEX('Smelter Reference List'!$A:$A,MATCH($A74,'Smelter Reference List'!$E:$E,0)))</f>
        <v>Tungsten</v>
      </c>
      <c r="C74" s="298" t="str">
        <f ca="1">IF(LEN(A74)=0,"",INDEX('Smelter Reference List'!$C:$C,MATCH($A74,'Smelter Reference List'!$E:$E,0)))</f>
        <v>Japan New Metals Co., Ltd.</v>
      </c>
      <c r="D74" s="292" t="str">
        <f ca="1">IF(ISERROR($S74),"",OFFSET('Smelter Reference List'!$C$4,$S74-4,0)&amp;"")</f>
        <v>Japan New Metals Co., Ltd.</v>
      </c>
      <c r="E74" s="292" t="str">
        <f ca="1">IF(ISERROR($S74),"",OFFSET('Smelter Reference List'!$D$4,$S74-4,0)&amp;"")</f>
        <v>JAPAN</v>
      </c>
      <c r="F74" s="292" t="str">
        <f ca="1">IF(ISERROR($S74),"",OFFSET('Smelter Reference List'!$E$4,$S74-4,0))</f>
        <v>CID000825</v>
      </c>
      <c r="G74" s="292" t="str">
        <f ca="1">IF(C74=$U$4,"Enter smelter details", IF(ISERROR($S74),"",OFFSET('Smelter Reference List'!$F$4,$S74-4,0)))</f>
        <v>CFSI</v>
      </c>
      <c r="H74" s="293">
        <f ca="1">IF(ISERROR($S74),"",OFFSET('Smelter Reference List'!$G$4,$S74-4,0))</f>
        <v>0</v>
      </c>
      <c r="I74" s="294" t="str">
        <f ca="1">IF(ISERROR($S74),"",OFFSET('Smelter Reference List'!$H$4,$S74-4,0))</f>
        <v>Akita City</v>
      </c>
      <c r="J74" s="294" t="str">
        <f ca="1">IF(ISERROR($S74),"",OFFSET('Smelter Reference List'!$I$4,$S74-4,0))</f>
        <v>Akita</v>
      </c>
      <c r="K74" s="295"/>
      <c r="L74" s="295"/>
      <c r="M74" s="295"/>
      <c r="N74" s="295"/>
      <c r="O74" s="295"/>
      <c r="P74" s="295"/>
      <c r="Q74" s="296"/>
      <c r="R74" s="227"/>
      <c r="S74" s="228">
        <f ca="1">IF(C74="",NA(),MATCH($B74&amp;$C74,'Smelter Reference List'!$J:$J,0))</f>
        <v>496</v>
      </c>
      <c r="T74" s="229"/>
      <c r="U74" s="229">
        <f t="shared" ca="1" si="4"/>
        <v>0</v>
      </c>
      <c r="V74" s="229"/>
      <c r="W74" s="229"/>
      <c r="Y74" s="223" t="str">
        <f t="shared" ca="1" si="5"/>
        <v>TungstenJapan New Metals Co., Ltd.</v>
      </c>
    </row>
    <row r="75" spans="1:25" s="223" customFormat="1" ht="20.25">
      <c r="A75" s="291" t="s">
        <v>1250</v>
      </c>
      <c r="B75" s="292" t="str">
        <f ca="1">IF(LEN(A75)=0,"",INDEX('Smelter Reference List'!$A:$A,MATCH($A75,'Smelter Reference List'!$E:$E,0)))</f>
        <v>Gold</v>
      </c>
      <c r="C75" s="298" t="str">
        <f ca="1">IF(LEN(A75)=0,"",INDEX('Smelter Reference List'!$C:$C,MATCH($A75,'Smelter Reference List'!$E:$E,0)))</f>
        <v>Jiangxi Copper Co., Ltd.</v>
      </c>
      <c r="D75" s="292" t="str">
        <f ca="1">IF(ISERROR($S75),"",OFFSET('Smelter Reference List'!$C$4,$S75-4,0)&amp;"")</f>
        <v>Jiangxi Copper Co., Ltd.</v>
      </c>
      <c r="E75" s="292" t="str">
        <f ca="1">IF(ISERROR($S75),"",OFFSET('Smelter Reference List'!$D$4,$S75-4,0)&amp;"")</f>
        <v>CHINA</v>
      </c>
      <c r="F75" s="292" t="str">
        <f ca="1">IF(ISERROR($S75),"",OFFSET('Smelter Reference List'!$E$4,$S75-4,0))</f>
        <v>CID000855</v>
      </c>
      <c r="G75" s="292" t="str">
        <f ca="1">IF(C75=$U$4,"Enter smelter details", IF(ISERROR($S75),"",OFFSET('Smelter Reference List'!$F$4,$S75-4,0)))</f>
        <v>CFSI</v>
      </c>
      <c r="H75" s="293">
        <f ca="1">IF(ISERROR($S75),"",OFFSET('Smelter Reference List'!$G$4,$S75-4,0))</f>
        <v>0</v>
      </c>
      <c r="I75" s="294" t="str">
        <f ca="1">IF(ISERROR($S75),"",OFFSET('Smelter Reference List'!$H$4,$S75-4,0))</f>
        <v>Guixi City</v>
      </c>
      <c r="J75" s="294" t="str">
        <f ca="1">IF(ISERROR($S75),"",OFFSET('Smelter Reference List'!$I$4,$S75-4,0))</f>
        <v>Jiangxi</v>
      </c>
      <c r="K75" s="295"/>
      <c r="L75" s="295"/>
      <c r="M75" s="295"/>
      <c r="N75" s="295"/>
      <c r="O75" s="295"/>
      <c r="P75" s="295"/>
      <c r="Q75" s="296"/>
      <c r="R75" s="227"/>
      <c r="S75" s="228">
        <f ca="1">IF(C75="",NA(),MATCH($B75&amp;$C75,'Smelter Reference List'!$J:$J,0))</f>
        <v>87</v>
      </c>
      <c r="T75" s="229"/>
      <c r="U75" s="229">
        <f t="shared" ca="1" si="4"/>
        <v>0</v>
      </c>
      <c r="V75" s="229"/>
      <c r="W75" s="229"/>
      <c r="Y75" s="223" t="str">
        <f t="shared" ca="1" si="5"/>
        <v>GoldJiangxi Copper Co., Ltd.</v>
      </c>
    </row>
    <row r="76" spans="1:25" s="223" customFormat="1" ht="20.25">
      <c r="A76" s="291" t="s">
        <v>1394</v>
      </c>
      <c r="B76" s="292" t="str">
        <f ca="1">IF(LEN(A76)=0,"",INDEX('Smelter Reference List'!$A:$A,MATCH($A76,'Smelter Reference List'!$E:$E,0)))</f>
        <v>Tungsten</v>
      </c>
      <c r="C76" s="298" t="str">
        <f ca="1">IF(LEN(A76)=0,"",INDEX('Smelter Reference List'!$C:$C,MATCH($A76,'Smelter Reference List'!$E:$E,0)))</f>
        <v>Ganzhou Huaxing Tungsten Products Co., Ltd.</v>
      </c>
      <c r="D76" s="292" t="str">
        <f ca="1">IF(ISERROR($S76),"",OFFSET('Smelter Reference List'!$C$4,$S76-4,0)&amp;"")</f>
        <v>Ganzhou Huaxing Tungsten Products Co., Ltd.</v>
      </c>
      <c r="E76" s="292" t="str">
        <f ca="1">IF(ISERROR($S76),"",OFFSET('Smelter Reference List'!$D$4,$S76-4,0)&amp;"")</f>
        <v>CHINA</v>
      </c>
      <c r="F76" s="292" t="str">
        <f ca="1">IF(ISERROR($S76),"",OFFSET('Smelter Reference List'!$E$4,$S76-4,0))</f>
        <v>CID000875</v>
      </c>
      <c r="G76" s="292" t="str">
        <f ca="1">IF(C76=$U$4,"Enter smelter details", IF(ISERROR($S76),"",OFFSET('Smelter Reference List'!$F$4,$S76-4,0)))</f>
        <v>CFSI</v>
      </c>
      <c r="H76" s="293">
        <f ca="1">IF(ISERROR($S76),"",OFFSET('Smelter Reference List'!$G$4,$S76-4,0))</f>
        <v>0</v>
      </c>
      <c r="I76" s="294" t="str">
        <f ca="1">IF(ISERROR($S76),"",OFFSET('Smelter Reference List'!$H$4,$S76-4,0))</f>
        <v>Ganzhou</v>
      </c>
      <c r="J76" s="294" t="str">
        <f ca="1">IF(ISERROR($S76),"",OFFSET('Smelter Reference List'!$I$4,$S76-4,0))</f>
        <v>Jiangxi</v>
      </c>
      <c r="K76" s="295"/>
      <c r="L76" s="295"/>
      <c r="M76" s="295"/>
      <c r="N76" s="295"/>
      <c r="O76" s="295"/>
      <c r="P76" s="295"/>
      <c r="Q76" s="296"/>
      <c r="R76" s="227"/>
      <c r="S76" s="228">
        <f ca="1">IF(C76="",NA(),MATCH($B76&amp;$C76,'Smelter Reference List'!$J:$J,0))</f>
        <v>481</v>
      </c>
      <c r="T76" s="229"/>
      <c r="U76" s="229">
        <f t="shared" ca="1" si="4"/>
        <v>0</v>
      </c>
      <c r="V76" s="229"/>
      <c r="W76" s="229"/>
      <c r="Y76" s="223" t="str">
        <f t="shared" ca="1" si="5"/>
        <v>TungstenGanzhou Huaxing Tungsten Products Co., Ltd.</v>
      </c>
    </row>
    <row r="77" spans="1:25" s="223" customFormat="1" ht="20.25">
      <c r="A77" s="291" t="s">
        <v>1323</v>
      </c>
      <c r="B77" s="292" t="str">
        <f ca="1">IF(LEN(A77)=0,"",INDEX('Smelter Reference List'!$A:$A,MATCH($A77,'Smelter Reference List'!$E:$E,0)))</f>
        <v>Tantalum</v>
      </c>
      <c r="C77" s="298" t="str">
        <f ca="1">IF(LEN(A77)=0,"",INDEX('Smelter Reference List'!$C:$C,MATCH($A77,'Smelter Reference List'!$E:$E,0)))</f>
        <v>JiuJiang JinXin Nonferrous Metals Co., Ltd.</v>
      </c>
      <c r="D77" s="292" t="str">
        <f ca="1">IF(ISERROR($S77),"",OFFSET('Smelter Reference List'!$C$4,$S77-4,0)&amp;"")</f>
        <v>JiuJiang JinXin Nonferrous Metals Co., Ltd.</v>
      </c>
      <c r="E77" s="292" t="str">
        <f ca="1">IF(ISERROR($S77),"",OFFSET('Smelter Reference List'!$D$4,$S77-4,0)&amp;"")</f>
        <v>CHINA</v>
      </c>
      <c r="F77" s="292" t="str">
        <f ca="1">IF(ISERROR($S77),"",OFFSET('Smelter Reference List'!$E$4,$S77-4,0))</f>
        <v>CID000914</v>
      </c>
      <c r="G77" s="292" t="str">
        <f ca="1">IF(C77=$U$4,"Enter smelter details", IF(ISERROR($S77),"",OFFSET('Smelter Reference List'!$F$4,$S77-4,0)))</f>
        <v>CFSI</v>
      </c>
      <c r="H77" s="293">
        <f ca="1">IF(ISERROR($S77),"",OFFSET('Smelter Reference List'!$G$4,$S77-4,0))</f>
        <v>0</v>
      </c>
      <c r="I77" s="294" t="str">
        <f ca="1">IF(ISERROR($S77),"",OFFSET('Smelter Reference List'!$H$4,$S77-4,0))</f>
        <v>Jiujiang</v>
      </c>
      <c r="J77" s="294" t="str">
        <f ca="1">IF(ISERROR($S77),"",OFFSET('Smelter Reference List'!$I$4,$S77-4,0))</f>
        <v>Jiangxi</v>
      </c>
      <c r="K77" s="295"/>
      <c r="L77" s="295"/>
      <c r="M77" s="295"/>
      <c r="N77" s="295"/>
      <c r="O77" s="295"/>
      <c r="P77" s="295"/>
      <c r="Q77" s="296"/>
      <c r="R77" s="227"/>
      <c r="S77" s="228">
        <f ca="1">IF(C77="",NA(),MATCH($B77&amp;$C77,'Smelter Reference List'!$J:$J,0))</f>
        <v>271</v>
      </c>
      <c r="T77" s="229"/>
      <c r="U77" s="229">
        <f t="shared" ca="1" si="4"/>
        <v>0</v>
      </c>
      <c r="V77" s="229"/>
      <c r="W77" s="229"/>
      <c r="Y77" s="223" t="str">
        <f t="shared" ca="1" si="5"/>
        <v>TantalumJiuJiang JinXin Nonferrous Metals Co., Ltd.</v>
      </c>
    </row>
    <row r="78" spans="1:25" s="223" customFormat="1" ht="20.25">
      <c r="A78" s="291" t="s">
        <v>1324</v>
      </c>
      <c r="B78" s="292" t="str">
        <f ca="1">IF(LEN(A78)=0,"",INDEX('Smelter Reference List'!$A:$A,MATCH($A78,'Smelter Reference List'!$E:$E,0)))</f>
        <v>Tantalum</v>
      </c>
      <c r="C78" s="298" t="str">
        <f ca="1">IF(LEN(A78)=0,"",INDEX('Smelter Reference List'!$C:$C,MATCH($A78,'Smelter Reference List'!$E:$E,0)))</f>
        <v>Jiujiang Tanbre Co., Ltd.</v>
      </c>
      <c r="D78" s="292" t="str">
        <f ca="1">IF(ISERROR($S78),"",OFFSET('Smelter Reference List'!$C$4,$S78-4,0)&amp;"")</f>
        <v>Jiujiang Tanbre Co., Ltd.</v>
      </c>
      <c r="E78" s="292" t="str">
        <f ca="1">IF(ISERROR($S78),"",OFFSET('Smelter Reference List'!$D$4,$S78-4,0)&amp;"")</f>
        <v>CHINA</v>
      </c>
      <c r="F78" s="292" t="str">
        <f ca="1">IF(ISERROR($S78),"",OFFSET('Smelter Reference List'!$E$4,$S78-4,0))</f>
        <v>CID000917</v>
      </c>
      <c r="G78" s="292" t="str">
        <f ca="1">IF(C78=$U$4,"Enter smelter details", IF(ISERROR($S78),"",OFFSET('Smelter Reference List'!$F$4,$S78-4,0)))</f>
        <v>CFSI</v>
      </c>
      <c r="H78" s="293">
        <f ca="1">IF(ISERROR($S78),"",OFFSET('Smelter Reference List'!$G$4,$S78-4,0))</f>
        <v>0</v>
      </c>
      <c r="I78" s="294" t="str">
        <f ca="1">IF(ISERROR($S78),"",OFFSET('Smelter Reference List'!$H$4,$S78-4,0))</f>
        <v>Jiujiang</v>
      </c>
      <c r="J78" s="294" t="str">
        <f ca="1">IF(ISERROR($S78),"",OFFSET('Smelter Reference List'!$I$4,$S78-4,0))</f>
        <v>Jiangxi</v>
      </c>
      <c r="K78" s="295"/>
      <c r="L78" s="295"/>
      <c r="M78" s="295"/>
      <c r="N78" s="295"/>
      <c r="O78" s="295"/>
      <c r="P78" s="295"/>
      <c r="Q78" s="296"/>
      <c r="R78" s="227"/>
      <c r="S78" s="228">
        <f ca="1">IF(C78="",NA(),MATCH($B78&amp;$C78,'Smelter Reference List'!$J:$J,0))</f>
        <v>272</v>
      </c>
      <c r="T78" s="229"/>
      <c r="U78" s="229">
        <f t="shared" ca="1" si="4"/>
        <v>0</v>
      </c>
      <c r="V78" s="229"/>
      <c r="W78" s="229"/>
      <c r="Y78" s="223" t="str">
        <f t="shared" ca="1" si="5"/>
        <v>TantalumJiujiang Tanbre Co., Ltd.</v>
      </c>
    </row>
    <row r="79" spans="1:25" s="223" customFormat="1" ht="20.25">
      <c r="A79" s="291" t="s">
        <v>1251</v>
      </c>
      <c r="B79" s="292" t="str">
        <f ca="1">IF(LEN(A79)=0,"",INDEX('Smelter Reference List'!$A:$A,MATCH($A79,'Smelter Reference List'!$E:$E,0)))</f>
        <v>Gold</v>
      </c>
      <c r="C79" s="298" t="str">
        <f ca="1">IF(LEN(A79)=0,"",INDEX('Smelter Reference List'!$C:$C,MATCH($A79,'Smelter Reference List'!$E:$E,0)))</f>
        <v>Asahi Refining USA Inc.</v>
      </c>
      <c r="D79" s="292" t="str">
        <f ca="1">IF(ISERROR($S79),"",OFFSET('Smelter Reference List'!$C$4,$S79-4,0)&amp;"")</f>
        <v>Asahi Refining USA Inc.</v>
      </c>
      <c r="E79" s="292" t="str">
        <f ca="1">IF(ISERROR($S79),"",OFFSET('Smelter Reference List'!$D$4,$S79-4,0)&amp;"")</f>
        <v>UNITED STATES OF AMERICA</v>
      </c>
      <c r="F79" s="292" t="str">
        <f ca="1">IF(ISERROR($S79),"",OFFSET('Smelter Reference List'!$E$4,$S79-4,0))</f>
        <v>CID000920</v>
      </c>
      <c r="G79" s="292" t="str">
        <f ca="1">IF(C79=$U$4,"Enter smelter details", IF(ISERROR($S79),"",OFFSET('Smelter Reference List'!$F$4,$S79-4,0)))</f>
        <v>CFSI</v>
      </c>
      <c r="H79" s="293">
        <f ca="1">IF(ISERROR($S79),"",OFFSET('Smelter Reference List'!$G$4,$S79-4,0))</f>
        <v>0</v>
      </c>
      <c r="I79" s="294" t="str">
        <f ca="1">IF(ISERROR($S79),"",OFFSET('Smelter Reference List'!$H$4,$S79-4,0))</f>
        <v>Salt Lake City</v>
      </c>
      <c r="J79" s="294" t="str">
        <f ca="1">IF(ISERROR($S79),"",OFFSET('Smelter Reference List'!$I$4,$S79-4,0))</f>
        <v>Utah</v>
      </c>
      <c r="K79" s="295"/>
      <c r="L79" s="295"/>
      <c r="M79" s="295"/>
      <c r="N79" s="295"/>
      <c r="O79" s="295"/>
      <c r="P79" s="295"/>
      <c r="Q79" s="296"/>
      <c r="R79" s="227"/>
      <c r="S79" s="228">
        <f ca="1">IF(C79="",NA(),MATCH($B79&amp;$C79,'Smelter Reference List'!$J:$J,0))</f>
        <v>21</v>
      </c>
      <c r="T79" s="229"/>
      <c r="U79" s="229">
        <f t="shared" ca="1" si="4"/>
        <v>0</v>
      </c>
      <c r="V79" s="229"/>
      <c r="W79" s="229"/>
      <c r="Y79" s="223" t="str">
        <f t="shared" ca="1" si="5"/>
        <v>GoldAsahi Refining USA Inc.</v>
      </c>
    </row>
    <row r="80" spans="1:25" s="223" customFormat="1" ht="20.25">
      <c r="A80" s="291" t="s">
        <v>1252</v>
      </c>
      <c r="B80" s="292" t="str">
        <f ca="1">IF(LEN(A80)=0,"",INDEX('Smelter Reference List'!$A:$A,MATCH($A80,'Smelter Reference List'!$E:$E,0)))</f>
        <v>Gold</v>
      </c>
      <c r="C80" s="298" t="str">
        <f ca="1">IF(LEN(A80)=0,"",INDEX('Smelter Reference List'!$C:$C,MATCH($A80,'Smelter Reference List'!$E:$E,0)))</f>
        <v>Asahi Refining Canada Ltd.</v>
      </c>
      <c r="D80" s="292" t="str">
        <f ca="1">IF(ISERROR($S80),"",OFFSET('Smelter Reference List'!$C$4,$S80-4,0)&amp;"")</f>
        <v>Asahi Refining Canada Ltd.</v>
      </c>
      <c r="E80" s="292" t="str">
        <f ca="1">IF(ISERROR($S80),"",OFFSET('Smelter Reference List'!$D$4,$S80-4,0)&amp;"")</f>
        <v>CANADA</v>
      </c>
      <c r="F80" s="292" t="str">
        <f ca="1">IF(ISERROR($S80),"",OFFSET('Smelter Reference List'!$E$4,$S80-4,0))</f>
        <v>CID000924</v>
      </c>
      <c r="G80" s="292" t="str">
        <f ca="1">IF(C80=$U$4,"Enter smelter details", IF(ISERROR($S80),"",OFFSET('Smelter Reference List'!$F$4,$S80-4,0)))</f>
        <v>CFSI</v>
      </c>
      <c r="H80" s="293">
        <f ca="1">IF(ISERROR($S80),"",OFFSET('Smelter Reference List'!$G$4,$S80-4,0))</f>
        <v>0</v>
      </c>
      <c r="I80" s="294" t="str">
        <f ca="1">IF(ISERROR($S80),"",OFFSET('Smelter Reference List'!$H$4,$S80-4,0))</f>
        <v>Brampton</v>
      </c>
      <c r="J80" s="294" t="str">
        <f ca="1">IF(ISERROR($S80),"",OFFSET('Smelter Reference List'!$I$4,$S80-4,0))</f>
        <v>Ontario</v>
      </c>
      <c r="K80" s="295"/>
      <c r="L80" s="295"/>
      <c r="M80" s="295"/>
      <c r="N80" s="295"/>
      <c r="O80" s="295"/>
      <c r="P80" s="295"/>
      <c r="Q80" s="296"/>
      <c r="R80" s="227"/>
      <c r="S80" s="228">
        <f ca="1">IF(C80="",NA(),MATCH($B80&amp;$C80,'Smelter Reference List'!$J:$J,0))</f>
        <v>20</v>
      </c>
      <c r="T80" s="229"/>
      <c r="U80" s="229">
        <f t="shared" ca="1" si="4"/>
        <v>0</v>
      </c>
      <c r="V80" s="229"/>
      <c r="W80" s="229"/>
      <c r="Y80" s="223" t="str">
        <f t="shared" ca="1" si="5"/>
        <v>GoldAsahi Refining Canada Ltd.</v>
      </c>
    </row>
    <row r="81" spans="1:25" s="223" customFormat="1" ht="20.25">
      <c r="A81" s="291" t="s">
        <v>1253</v>
      </c>
      <c r="B81" s="292" t="str">
        <f ca="1">IF(LEN(A81)=0,"",INDEX('Smelter Reference List'!$A:$A,MATCH($A81,'Smelter Reference List'!$E:$E,0)))</f>
        <v>Gold</v>
      </c>
      <c r="C81" s="298" t="str">
        <f ca="1">IF(LEN(A81)=0,"",INDEX('Smelter Reference List'!$C:$C,MATCH($A81,'Smelter Reference List'!$E:$E,0)))</f>
        <v>JSC Ekaterinburg Non-Ferrous Metal Processing Plant</v>
      </c>
      <c r="D81" s="292" t="str">
        <f ca="1">IF(ISERROR($S81),"",OFFSET('Smelter Reference List'!$C$4,$S81-4,0)&amp;"")</f>
        <v>JSC Ekaterinburg Non-Ferrous Metal Processing Plant</v>
      </c>
      <c r="E81" s="292" t="str">
        <f ca="1">IF(ISERROR($S81),"",OFFSET('Smelter Reference List'!$D$4,$S81-4,0)&amp;"")</f>
        <v>RUSSIAN FEDERATION</v>
      </c>
      <c r="F81" s="292" t="str">
        <f ca="1">IF(ISERROR($S81),"",OFFSET('Smelter Reference List'!$E$4,$S81-4,0))</f>
        <v>CID000927</v>
      </c>
      <c r="G81" s="292" t="str">
        <f ca="1">IF(C81=$U$4,"Enter smelter details", IF(ISERROR($S81),"",OFFSET('Smelter Reference List'!$F$4,$S81-4,0)))</f>
        <v>CFSI</v>
      </c>
      <c r="H81" s="293">
        <f ca="1">IF(ISERROR($S81),"",OFFSET('Smelter Reference List'!$G$4,$S81-4,0))</f>
        <v>0</v>
      </c>
      <c r="I81" s="294" t="str">
        <f ca="1">IF(ISERROR($S81),"",OFFSET('Smelter Reference List'!$H$4,$S81-4,0))</f>
        <v>Verkhnyaya Pyshma</v>
      </c>
      <c r="J81" s="294" t="str">
        <f ca="1">IF(ISERROR($S81),"",OFFSET('Smelter Reference List'!$I$4,$S81-4,0))</f>
        <v>Sverdlovsk</v>
      </c>
      <c r="K81" s="295"/>
      <c r="L81" s="295"/>
      <c r="M81" s="295"/>
      <c r="N81" s="295"/>
      <c r="O81" s="295"/>
      <c r="P81" s="295"/>
      <c r="Q81" s="296"/>
      <c r="R81" s="227"/>
      <c r="S81" s="228">
        <f ca="1">IF(C81="",NA(),MATCH($B81&amp;$C81,'Smelter Reference List'!$J:$J,0))</f>
        <v>92</v>
      </c>
      <c r="T81" s="229"/>
      <c r="U81" s="229">
        <f t="shared" ca="1" si="4"/>
        <v>0</v>
      </c>
      <c r="V81" s="229"/>
      <c r="W81" s="229"/>
      <c r="Y81" s="223" t="str">
        <f t="shared" ca="1" si="5"/>
        <v>GoldJSC Ekaterinburg Non-Ferrous Metal Processing Plant</v>
      </c>
    </row>
    <row r="82" spans="1:25" s="223" customFormat="1" ht="20.25">
      <c r="A82" s="291" t="s">
        <v>1254</v>
      </c>
      <c r="B82" s="292" t="str">
        <f ca="1">IF(LEN(A82)=0,"",INDEX('Smelter Reference List'!$A:$A,MATCH($A82,'Smelter Reference List'!$E:$E,0)))</f>
        <v>Gold</v>
      </c>
      <c r="C82" s="298" t="str">
        <f ca="1">IF(LEN(A82)=0,"",INDEX('Smelter Reference List'!$C:$C,MATCH($A82,'Smelter Reference List'!$E:$E,0)))</f>
        <v>JSC Uralelectromed</v>
      </c>
      <c r="D82" s="292" t="str">
        <f ca="1">IF(ISERROR($S82),"",OFFSET('Smelter Reference List'!$C$4,$S82-4,0)&amp;"")</f>
        <v>JSC Uralelectromed</v>
      </c>
      <c r="E82" s="292" t="str">
        <f ca="1">IF(ISERROR($S82),"",OFFSET('Smelter Reference List'!$D$4,$S82-4,0)&amp;"")</f>
        <v>RUSSIAN FEDERATION</v>
      </c>
      <c r="F82" s="292" t="str">
        <f ca="1">IF(ISERROR($S82),"",OFFSET('Smelter Reference List'!$E$4,$S82-4,0))</f>
        <v>CID000929</v>
      </c>
      <c r="G82" s="292" t="str">
        <f ca="1">IF(C82=$U$4,"Enter smelter details", IF(ISERROR($S82),"",OFFSET('Smelter Reference List'!$F$4,$S82-4,0)))</f>
        <v>CFSI</v>
      </c>
      <c r="H82" s="293">
        <f ca="1">IF(ISERROR($S82),"",OFFSET('Smelter Reference List'!$G$4,$S82-4,0))</f>
        <v>0</v>
      </c>
      <c r="I82" s="294" t="str">
        <f ca="1">IF(ISERROR($S82),"",OFFSET('Smelter Reference List'!$H$4,$S82-4,0))</f>
        <v>Verkhnyaya Pyshma</v>
      </c>
      <c r="J82" s="294" t="str">
        <f ca="1">IF(ISERROR($S82),"",OFFSET('Smelter Reference List'!$I$4,$S82-4,0))</f>
        <v>Sverdlovsk</v>
      </c>
      <c r="K82" s="295"/>
      <c r="L82" s="295"/>
      <c r="M82" s="295"/>
      <c r="N82" s="295"/>
      <c r="O82" s="295"/>
      <c r="P82" s="295"/>
      <c r="Q82" s="296"/>
      <c r="R82" s="227"/>
      <c r="S82" s="228">
        <f ca="1">IF(C82="",NA(),MATCH($B82&amp;$C82,'Smelter Reference List'!$J:$J,0))</f>
        <v>93</v>
      </c>
      <c r="T82" s="229"/>
      <c r="U82" s="229">
        <f t="shared" ca="1" si="4"/>
        <v>0</v>
      </c>
      <c r="V82" s="229"/>
      <c r="W82" s="229"/>
      <c r="Y82" s="223" t="str">
        <f t="shared" ca="1" si="5"/>
        <v>GoldJSC Uralelectromed</v>
      </c>
    </row>
    <row r="83" spans="1:25" s="223" customFormat="1" ht="20.25">
      <c r="A83" s="291" t="s">
        <v>1255</v>
      </c>
      <c r="B83" s="292" t="str">
        <f ca="1">IF(LEN(A83)=0,"",INDEX('Smelter Reference List'!$A:$A,MATCH($A83,'Smelter Reference List'!$E:$E,0)))</f>
        <v>Gold</v>
      </c>
      <c r="C83" s="298" t="str">
        <f ca="1">IF(LEN(A83)=0,"",INDEX('Smelter Reference List'!$C:$C,MATCH($A83,'Smelter Reference List'!$E:$E,0)))</f>
        <v>JX Nippon Mining &amp; Metals Co., Ltd.</v>
      </c>
      <c r="D83" s="292" t="str">
        <f ca="1">IF(ISERROR($S83),"",OFFSET('Smelter Reference List'!$C$4,$S83-4,0)&amp;"")</f>
        <v>JX Nippon Mining &amp; Metals Co., Ltd.</v>
      </c>
      <c r="E83" s="292" t="str">
        <f ca="1">IF(ISERROR($S83),"",OFFSET('Smelter Reference List'!$D$4,$S83-4,0)&amp;"")</f>
        <v>JAPAN</v>
      </c>
      <c r="F83" s="292" t="str">
        <f ca="1">IF(ISERROR($S83),"",OFFSET('Smelter Reference List'!$E$4,$S83-4,0))</f>
        <v>CID000937</v>
      </c>
      <c r="G83" s="292" t="str">
        <f ca="1">IF(C83=$U$4,"Enter smelter details", IF(ISERROR($S83),"",OFFSET('Smelter Reference List'!$F$4,$S83-4,0)))</f>
        <v>CFSI</v>
      </c>
      <c r="H83" s="293">
        <f ca="1">IF(ISERROR($S83),"",OFFSET('Smelter Reference List'!$G$4,$S83-4,0))</f>
        <v>0</v>
      </c>
      <c r="I83" s="294" t="str">
        <f ca="1">IF(ISERROR($S83),"",OFFSET('Smelter Reference List'!$H$4,$S83-4,0))</f>
        <v>Ōita</v>
      </c>
      <c r="J83" s="294" t="str">
        <f ca="1">IF(ISERROR($S83),"",OFFSET('Smelter Reference List'!$I$4,$S83-4,0))</f>
        <v>Ōita</v>
      </c>
      <c r="K83" s="295"/>
      <c r="L83" s="295"/>
      <c r="M83" s="295"/>
      <c r="N83" s="295"/>
      <c r="O83" s="295"/>
      <c r="P83" s="295"/>
      <c r="Q83" s="296"/>
      <c r="R83" s="227"/>
      <c r="S83" s="228">
        <f ca="1">IF(C83="",NA(),MATCH($B83&amp;$C83,'Smelter Reference List'!$J:$J,0))</f>
        <v>94</v>
      </c>
      <c r="T83" s="229"/>
      <c r="U83" s="229">
        <f t="shared" ca="1" si="4"/>
        <v>0</v>
      </c>
      <c r="V83" s="229"/>
      <c r="W83" s="229"/>
      <c r="Y83" s="223" t="str">
        <f t="shared" ca="1" si="5"/>
        <v>GoldJX Nippon Mining &amp; Metals Co., Ltd.</v>
      </c>
    </row>
    <row r="84" spans="1:25" s="223" customFormat="1" ht="20.25">
      <c r="A84" s="291" t="s">
        <v>1352</v>
      </c>
      <c r="B84" s="292" t="str">
        <f ca="1">IF(LEN(A84)=0,"",INDEX('Smelter Reference List'!$A:$A,MATCH($A84,'Smelter Reference List'!$E:$E,0)))</f>
        <v>Tin</v>
      </c>
      <c r="C84" s="298" t="str">
        <f ca="1">IF(LEN(A84)=0,"",INDEX('Smelter Reference List'!$C:$C,MATCH($A84,'Smelter Reference List'!$E:$E,0)))</f>
        <v>Gejiu Kai Meng Industry and Trade LLC</v>
      </c>
      <c r="D84" s="292" t="str">
        <f ca="1">IF(ISERROR($S84),"",OFFSET('Smelter Reference List'!$C$4,$S84-4,0)&amp;"")</f>
        <v>Gejiu Kai Meng Industry and Trade LLC</v>
      </c>
      <c r="E84" s="292" t="str">
        <f ca="1">IF(ISERROR($S84),"",OFFSET('Smelter Reference List'!$D$4,$S84-4,0)&amp;"")</f>
        <v>CHINA</v>
      </c>
      <c r="F84" s="292" t="str">
        <f ca="1">IF(ISERROR($S84),"",OFFSET('Smelter Reference List'!$E$4,$S84-4,0))</f>
        <v>CID000942</v>
      </c>
      <c r="G84" s="292" t="str">
        <f ca="1">IF(C84=$U$4,"Enter smelter details", IF(ISERROR($S84),"",OFFSET('Smelter Reference List'!$F$4,$S84-4,0)))</f>
        <v>CFSI</v>
      </c>
      <c r="H84" s="293">
        <f ca="1">IF(ISERROR($S84),"",OFFSET('Smelter Reference List'!$G$4,$S84-4,0))</f>
        <v>0</v>
      </c>
      <c r="I84" s="294" t="str">
        <f ca="1">IF(ISERROR($S84),"",OFFSET('Smelter Reference List'!$H$4,$S84-4,0))</f>
        <v>Gejiu</v>
      </c>
      <c r="J84" s="294" t="str">
        <f ca="1">IF(ISERROR($S84),"",OFFSET('Smelter Reference List'!$I$4,$S84-4,0))</f>
        <v>Yunnan</v>
      </c>
      <c r="K84" s="295"/>
      <c r="L84" s="295"/>
      <c r="M84" s="295"/>
      <c r="N84" s="295"/>
      <c r="O84" s="295"/>
      <c r="P84" s="295"/>
      <c r="Q84" s="296"/>
      <c r="R84" s="227"/>
      <c r="S84" s="228">
        <f ca="1">IF(C84="",NA(),MATCH($B84&amp;$C84,'Smelter Reference List'!$J:$J,0))</f>
        <v>357</v>
      </c>
      <c r="T84" s="229"/>
      <c r="U84" s="229">
        <f t="shared" ca="1" si="4"/>
        <v>0</v>
      </c>
      <c r="V84" s="229"/>
      <c r="W84" s="229"/>
      <c r="Y84" s="223" t="str">
        <f t="shared" ca="1" si="5"/>
        <v>TinGejiu Kai Meng Industry and Trade LLC</v>
      </c>
    </row>
    <row r="85" spans="1:25" s="223" customFormat="1" ht="20.25">
      <c r="A85" s="291" t="s">
        <v>1256</v>
      </c>
      <c r="B85" s="292" t="str">
        <f ca="1">IF(LEN(A85)=0,"",INDEX('Smelter Reference List'!$A:$A,MATCH($A85,'Smelter Reference List'!$E:$E,0)))</f>
        <v>Gold</v>
      </c>
      <c r="C85" s="298" t="str">
        <f ca="1">IF(LEN(A85)=0,"",INDEX('Smelter Reference List'!$C:$C,MATCH($A85,'Smelter Reference List'!$E:$E,0)))</f>
        <v>Kazzinc</v>
      </c>
      <c r="D85" s="292" t="str">
        <f ca="1">IF(ISERROR($S85),"",OFFSET('Smelter Reference List'!$C$4,$S85-4,0)&amp;"")</f>
        <v>Kazzinc</v>
      </c>
      <c r="E85" s="292" t="str">
        <f ca="1">IF(ISERROR($S85),"",OFFSET('Smelter Reference List'!$D$4,$S85-4,0)&amp;"")</f>
        <v>KAZAKHSTAN</v>
      </c>
      <c r="F85" s="292" t="str">
        <f ca="1">IF(ISERROR($S85),"",OFFSET('Smelter Reference List'!$E$4,$S85-4,0))</f>
        <v>CID000957</v>
      </c>
      <c r="G85" s="292" t="str">
        <f ca="1">IF(C85=$U$4,"Enter smelter details", IF(ISERROR($S85),"",OFFSET('Smelter Reference List'!$F$4,$S85-4,0)))</f>
        <v>CFSI</v>
      </c>
      <c r="H85" s="293">
        <f ca="1">IF(ISERROR($S85),"",OFFSET('Smelter Reference List'!$G$4,$S85-4,0))</f>
        <v>0</v>
      </c>
      <c r="I85" s="294" t="str">
        <f ca="1">IF(ISERROR($S85),"",OFFSET('Smelter Reference List'!$H$4,$S85-4,0))</f>
        <v>Ust-Kamenogorsk</v>
      </c>
      <c r="J85" s="294" t="str">
        <f ca="1">IF(ISERROR($S85),"",OFFSET('Smelter Reference List'!$I$4,$S85-4,0))</f>
        <v>East Kazakhstan</v>
      </c>
      <c r="K85" s="295"/>
      <c r="L85" s="295"/>
      <c r="M85" s="295"/>
      <c r="N85" s="295"/>
      <c r="O85" s="295"/>
      <c r="P85" s="295"/>
      <c r="Q85" s="296"/>
      <c r="R85" s="227"/>
      <c r="S85" s="228">
        <f ca="1">IF(C85="",NA(),MATCH($B85&amp;$C85,'Smelter Reference List'!$J:$J,0))</f>
        <v>97</v>
      </c>
      <c r="T85" s="229"/>
      <c r="U85" s="229">
        <f t="shared" ca="1" si="4"/>
        <v>0</v>
      </c>
      <c r="V85" s="229"/>
      <c r="W85" s="229"/>
      <c r="Y85" s="223" t="str">
        <f t="shared" ca="1" si="5"/>
        <v>GoldKazzinc</v>
      </c>
    </row>
    <row r="86" spans="1:25" s="223" customFormat="1" ht="20.25">
      <c r="A86" s="291" t="s">
        <v>1395</v>
      </c>
      <c r="B86" s="292" t="str">
        <f ca="1">IF(LEN(A86)=0,"",INDEX('Smelter Reference List'!$A:$A,MATCH($A86,'Smelter Reference List'!$E:$E,0)))</f>
        <v>Tungsten</v>
      </c>
      <c r="C86" s="298" t="str">
        <f ca="1">IF(LEN(A86)=0,"",INDEX('Smelter Reference List'!$C:$C,MATCH($A86,'Smelter Reference List'!$E:$E,0)))</f>
        <v>Kennametal Fallon</v>
      </c>
      <c r="D86" s="292" t="str">
        <f ca="1">IF(ISERROR($S86),"",OFFSET('Smelter Reference List'!$C$4,$S86-4,0)&amp;"")</f>
        <v>Kennametal Fallon</v>
      </c>
      <c r="E86" s="292" t="str">
        <f ca="1">IF(ISERROR($S86),"",OFFSET('Smelter Reference List'!$D$4,$S86-4,0)&amp;"")</f>
        <v>UNITED STATES OF AMERICA</v>
      </c>
      <c r="F86" s="292" t="str">
        <f ca="1">IF(ISERROR($S86),"",OFFSET('Smelter Reference List'!$E$4,$S86-4,0))</f>
        <v>CID000966</v>
      </c>
      <c r="G86" s="292" t="str">
        <f ca="1">IF(C86=$U$4,"Enter smelter details", IF(ISERROR($S86),"",OFFSET('Smelter Reference List'!$F$4,$S86-4,0)))</f>
        <v>CFSI</v>
      </c>
      <c r="H86" s="293">
        <f ca="1">IF(ISERROR($S86),"",OFFSET('Smelter Reference List'!$G$4,$S86-4,0))</f>
        <v>0</v>
      </c>
      <c r="I86" s="294" t="str">
        <f ca="1">IF(ISERROR($S86),"",OFFSET('Smelter Reference List'!$H$4,$S86-4,0))</f>
        <v>Fallon</v>
      </c>
      <c r="J86" s="294" t="str">
        <f ca="1">IF(ISERROR($S86),"",OFFSET('Smelter Reference List'!$I$4,$S86-4,0))</f>
        <v>Nevada</v>
      </c>
      <c r="K86" s="295"/>
      <c r="L86" s="295"/>
      <c r="M86" s="295"/>
      <c r="N86" s="295"/>
      <c r="O86" s="295"/>
      <c r="P86" s="295"/>
      <c r="Q86" s="296"/>
      <c r="R86" s="227"/>
      <c r="S86" s="228">
        <f ca="1">IF(C86="",NA(),MATCH($B86&amp;$C86,'Smelter Reference List'!$J:$J,0))</f>
        <v>507</v>
      </c>
      <c r="T86" s="229"/>
      <c r="U86" s="229">
        <f t="shared" ca="1" si="4"/>
        <v>0</v>
      </c>
      <c r="V86" s="229"/>
      <c r="W86" s="229"/>
      <c r="Y86" s="223" t="str">
        <f t="shared" ca="1" si="5"/>
        <v>TungstenKennametal Fallon</v>
      </c>
    </row>
    <row r="87" spans="1:25" s="223" customFormat="1" ht="20.25">
      <c r="A87" s="291" t="s">
        <v>1258</v>
      </c>
      <c r="B87" s="292" t="str">
        <f ca="1">IF(LEN(A87)=0,"",INDEX('Smelter Reference List'!$A:$A,MATCH($A87,'Smelter Reference List'!$E:$E,0)))</f>
        <v>Gold</v>
      </c>
      <c r="C87" s="298" t="str">
        <f ca="1">IF(LEN(A87)=0,"",INDEX('Smelter Reference List'!$C:$C,MATCH($A87,'Smelter Reference List'!$E:$E,0)))</f>
        <v>Kennecott Utah Copper LLC</v>
      </c>
      <c r="D87" s="292" t="str">
        <f ca="1">IF(ISERROR($S87),"",OFFSET('Smelter Reference List'!$C$4,$S87-4,0)&amp;"")</f>
        <v>Kennecott Utah Copper LLC</v>
      </c>
      <c r="E87" s="292" t="str">
        <f ca="1">IF(ISERROR($S87),"",OFFSET('Smelter Reference List'!$D$4,$S87-4,0)&amp;"")</f>
        <v>UNITED STATES OF AMERICA</v>
      </c>
      <c r="F87" s="292" t="str">
        <f ca="1">IF(ISERROR($S87),"",OFFSET('Smelter Reference List'!$E$4,$S87-4,0))</f>
        <v>CID000969</v>
      </c>
      <c r="G87" s="292" t="str">
        <f ca="1">IF(C87=$U$4,"Enter smelter details", IF(ISERROR($S87),"",OFFSET('Smelter Reference List'!$F$4,$S87-4,0)))</f>
        <v>CFSI</v>
      </c>
      <c r="H87" s="293">
        <f ca="1">IF(ISERROR($S87),"",OFFSET('Smelter Reference List'!$G$4,$S87-4,0))</f>
        <v>0</v>
      </c>
      <c r="I87" s="294" t="str">
        <f ca="1">IF(ISERROR($S87),"",OFFSET('Smelter Reference List'!$H$4,$S87-4,0))</f>
        <v>Magna</v>
      </c>
      <c r="J87" s="294" t="str">
        <f ca="1">IF(ISERROR($S87),"",OFFSET('Smelter Reference List'!$I$4,$S87-4,0))</f>
        <v>Utah</v>
      </c>
      <c r="K87" s="295"/>
      <c r="L87" s="295"/>
      <c r="M87" s="295"/>
      <c r="N87" s="295"/>
      <c r="O87" s="295"/>
      <c r="P87" s="295"/>
      <c r="Q87" s="296"/>
      <c r="R87" s="227"/>
      <c r="S87" s="228">
        <f ca="1">IF(C87="",NA(),MATCH($B87&amp;$C87,'Smelter Reference List'!$J:$J,0))</f>
        <v>98</v>
      </c>
      <c r="T87" s="229"/>
      <c r="U87" s="229">
        <f t="shared" ca="1" si="4"/>
        <v>0</v>
      </c>
      <c r="V87" s="229"/>
      <c r="W87" s="229"/>
      <c r="Y87" s="223" t="str">
        <f t="shared" ca="1" si="5"/>
        <v>GoldKennecott Utah Copper LLC</v>
      </c>
    </row>
    <row r="88" spans="1:25" s="223" customFormat="1" ht="20.25">
      <c r="A88" s="291" t="s">
        <v>1325</v>
      </c>
      <c r="B88" s="292" t="str">
        <f ca="1">IF(LEN(A88)=0,"",INDEX('Smelter Reference List'!$A:$A,MATCH($A88,'Smelter Reference List'!$E:$E,0)))</f>
        <v>Tantalum</v>
      </c>
      <c r="C88" s="298" t="str">
        <f ca="1">IF(LEN(A88)=0,"",INDEX('Smelter Reference List'!$C:$C,MATCH($A88,'Smelter Reference List'!$E:$E,0)))</f>
        <v>King-Tan Tantalum Industry Ltd.</v>
      </c>
      <c r="D88" s="292" t="str">
        <f ca="1">IF(ISERROR($S88),"",OFFSET('Smelter Reference List'!$C$4,$S88-4,0)&amp;"")</f>
        <v>King-Tan Tantalum Industry Ltd.</v>
      </c>
      <c r="E88" s="292" t="str">
        <f ca="1">IF(ISERROR($S88),"",OFFSET('Smelter Reference List'!$D$4,$S88-4,0)&amp;"")</f>
        <v>CHINA</v>
      </c>
      <c r="F88" s="292" t="str">
        <f ca="1">IF(ISERROR($S88),"",OFFSET('Smelter Reference List'!$E$4,$S88-4,0))</f>
        <v>CID000973</v>
      </c>
      <c r="G88" s="292" t="str">
        <f ca="1">IF(C88=$U$4,"Enter smelter details", IF(ISERROR($S88),"",OFFSET('Smelter Reference List'!$F$4,$S88-4,0)))</f>
        <v>CFSI</v>
      </c>
      <c r="H88" s="293">
        <f ca="1">IF(ISERROR($S88),"",OFFSET('Smelter Reference List'!$G$4,$S88-4,0))</f>
        <v>0</v>
      </c>
      <c r="I88" s="294" t="str">
        <f ca="1">IF(ISERROR($S88),"",OFFSET('Smelter Reference List'!$H$4,$S88-4,0))</f>
        <v>Yifeng</v>
      </c>
      <c r="J88" s="294" t="str">
        <f ca="1">IF(ISERROR($S88),"",OFFSET('Smelter Reference List'!$I$4,$S88-4,0))</f>
        <v>Jiangxi</v>
      </c>
      <c r="K88" s="295"/>
      <c r="L88" s="295"/>
      <c r="M88" s="295"/>
      <c r="N88" s="295"/>
      <c r="O88" s="295"/>
      <c r="P88" s="295"/>
      <c r="Q88" s="296"/>
      <c r="R88" s="227"/>
      <c r="S88" s="228">
        <f ca="1">IF(C88="",NA(),MATCH($B88&amp;$C88,'Smelter Reference List'!$J:$J,0))</f>
        <v>276</v>
      </c>
      <c r="T88" s="229"/>
      <c r="U88" s="229">
        <f t="shared" ca="1" si="4"/>
        <v>0</v>
      </c>
      <c r="V88" s="229"/>
      <c r="W88" s="229"/>
      <c r="Y88" s="223" t="str">
        <f t="shared" ca="1" si="5"/>
        <v>TantalumKing-Tan Tantalum Industry Ltd.</v>
      </c>
    </row>
    <row r="89" spans="1:25" s="223" customFormat="1" ht="20.25">
      <c r="A89" s="291" t="s">
        <v>1259</v>
      </c>
      <c r="B89" s="292" t="str">
        <f ca="1">IF(LEN(A89)=0,"",INDEX('Smelter Reference List'!$A:$A,MATCH($A89,'Smelter Reference List'!$E:$E,0)))</f>
        <v>Gold</v>
      </c>
      <c r="C89" s="298" t="str">
        <f ca="1">IF(LEN(A89)=0,"",INDEX('Smelter Reference List'!$C:$C,MATCH($A89,'Smelter Reference List'!$E:$E,0)))</f>
        <v>Kojima Chemicals Co., Ltd.</v>
      </c>
      <c r="D89" s="292" t="str">
        <f ca="1">IF(ISERROR($S89),"",OFFSET('Smelter Reference List'!$C$4,$S89-4,0)&amp;"")</f>
        <v>Kojima Chemicals Co., Ltd.</v>
      </c>
      <c r="E89" s="292" t="str">
        <f ca="1">IF(ISERROR($S89),"",OFFSET('Smelter Reference List'!$D$4,$S89-4,0)&amp;"")</f>
        <v>JAPAN</v>
      </c>
      <c r="F89" s="292" t="str">
        <f ca="1">IF(ISERROR($S89),"",OFFSET('Smelter Reference List'!$E$4,$S89-4,0))</f>
        <v>CID000981</v>
      </c>
      <c r="G89" s="292" t="str">
        <f ca="1">IF(C89=$U$4,"Enter smelter details", IF(ISERROR($S89),"",OFFSET('Smelter Reference List'!$F$4,$S89-4,0)))</f>
        <v>CFSI</v>
      </c>
      <c r="H89" s="293">
        <f ca="1">IF(ISERROR($S89),"",OFFSET('Smelter Reference List'!$G$4,$S89-4,0))</f>
        <v>0</v>
      </c>
      <c r="I89" s="294" t="str">
        <f ca="1">IF(ISERROR($S89),"",OFFSET('Smelter Reference List'!$H$4,$S89-4,0))</f>
        <v>Sayama</v>
      </c>
      <c r="J89" s="294" t="str">
        <f ca="1">IF(ISERROR($S89),"",OFFSET('Smelter Reference List'!$I$4,$S89-4,0))</f>
        <v>Saitama</v>
      </c>
      <c r="K89" s="295"/>
      <c r="L89" s="295"/>
      <c r="M89" s="295"/>
      <c r="N89" s="295"/>
      <c r="O89" s="295"/>
      <c r="P89" s="295"/>
      <c r="Q89" s="296"/>
      <c r="R89" s="227"/>
      <c r="S89" s="228">
        <f ca="1">IF(C89="",NA(),MATCH($B89&amp;$C89,'Smelter Reference List'!$J:$J,0))</f>
        <v>100</v>
      </c>
      <c r="T89" s="229"/>
      <c r="U89" s="229">
        <f t="shared" ca="1" si="4"/>
        <v>0</v>
      </c>
      <c r="V89" s="229"/>
      <c r="W89" s="229"/>
      <c r="Y89" s="223" t="str">
        <f t="shared" ca="1" si="5"/>
        <v>GoldKojima Chemicals Co., Ltd.</v>
      </c>
    </row>
    <row r="90" spans="1:25" s="223" customFormat="1" ht="20.25">
      <c r="A90" s="291" t="s">
        <v>1260</v>
      </c>
      <c r="B90" s="292" t="str">
        <f ca="1">IF(LEN(A90)=0,"",INDEX('Smelter Reference List'!$A:$A,MATCH($A90,'Smelter Reference List'!$E:$E,0)))</f>
        <v>Gold</v>
      </c>
      <c r="C90" s="298" t="str">
        <f ca="1">IF(LEN(A90)=0,"",INDEX('Smelter Reference List'!$C:$C,MATCH($A90,'Smelter Reference List'!$E:$E,0)))</f>
        <v>Kyrgyzaltyn JSC</v>
      </c>
      <c r="D90" s="292" t="str">
        <f ca="1">IF(ISERROR($S90),"",OFFSET('Smelter Reference List'!$C$4,$S90-4,0)&amp;"")</f>
        <v>Kyrgyzaltyn JSC</v>
      </c>
      <c r="E90" s="292" t="str">
        <f ca="1">IF(ISERROR($S90),"",OFFSET('Smelter Reference List'!$D$4,$S90-4,0)&amp;"")</f>
        <v>KYRGYZSTAN</v>
      </c>
      <c r="F90" s="292" t="str">
        <f ca="1">IF(ISERROR($S90),"",OFFSET('Smelter Reference List'!$E$4,$S90-4,0))</f>
        <v>CID001029</v>
      </c>
      <c r="G90" s="292" t="str">
        <f ca="1">IF(C90=$U$4,"Enter smelter details", IF(ISERROR($S90),"",OFFSET('Smelter Reference List'!$F$4,$S90-4,0)))</f>
        <v>CFSI</v>
      </c>
      <c r="H90" s="293">
        <f ca="1">IF(ISERROR($S90),"",OFFSET('Smelter Reference List'!$G$4,$S90-4,0))</f>
        <v>0</v>
      </c>
      <c r="I90" s="294" t="str">
        <f ca="1">IF(ISERROR($S90),"",OFFSET('Smelter Reference List'!$H$4,$S90-4,0))</f>
        <v>Bishkek</v>
      </c>
      <c r="J90" s="294" t="str">
        <f ca="1">IF(ISERROR($S90),"",OFFSET('Smelter Reference List'!$I$4,$S90-4,0))</f>
        <v>Chuy Province</v>
      </c>
      <c r="K90" s="295"/>
      <c r="L90" s="295"/>
      <c r="M90" s="295"/>
      <c r="N90" s="295"/>
      <c r="O90" s="295"/>
      <c r="P90" s="295"/>
      <c r="Q90" s="296"/>
      <c r="R90" s="227"/>
      <c r="S90" s="228">
        <f ca="1">IF(C90="",NA(),MATCH($B90&amp;$C90,'Smelter Reference List'!$J:$J,0))</f>
        <v>104</v>
      </c>
      <c r="T90" s="229"/>
      <c r="U90" s="229">
        <f t="shared" ca="1" si="4"/>
        <v>0</v>
      </c>
      <c r="V90" s="229"/>
      <c r="W90" s="229"/>
      <c r="Y90" s="223" t="str">
        <f t="shared" ca="1" si="5"/>
        <v>GoldKyrgyzaltyn JSC</v>
      </c>
    </row>
    <row r="91" spans="1:25" s="223" customFormat="1" ht="20.25">
      <c r="A91" s="291" t="s">
        <v>1261</v>
      </c>
      <c r="B91" s="292" t="str">
        <f ca="1">IF(LEN(A91)=0,"",INDEX('Smelter Reference List'!$A:$A,MATCH($A91,'Smelter Reference List'!$E:$E,0)))</f>
        <v>Gold</v>
      </c>
      <c r="C91" s="298" t="str">
        <f ca="1">IF(LEN(A91)=0,"",INDEX('Smelter Reference List'!$C:$C,MATCH($A91,'Smelter Reference List'!$E:$E,0)))</f>
        <v>L'azurde Company For Jewelry</v>
      </c>
      <c r="D91" s="292" t="str">
        <f ca="1">IF(ISERROR($S91),"",OFFSET('Smelter Reference List'!$C$4,$S91-4,0)&amp;"")</f>
        <v>L'azurde Company For Jewelry</v>
      </c>
      <c r="E91" s="292" t="str">
        <f ca="1">IF(ISERROR($S91),"",OFFSET('Smelter Reference List'!$D$4,$S91-4,0)&amp;"")</f>
        <v>SAUDI ARABIA</v>
      </c>
      <c r="F91" s="292" t="str">
        <f ca="1">IF(ISERROR($S91),"",OFFSET('Smelter Reference List'!$E$4,$S91-4,0))</f>
        <v>CID001032</v>
      </c>
      <c r="G91" s="292" t="str">
        <f ca="1">IF(C91=$U$4,"Enter smelter details", IF(ISERROR($S91),"",OFFSET('Smelter Reference List'!$F$4,$S91-4,0)))</f>
        <v>CFSI</v>
      </c>
      <c r="H91" s="293">
        <f ca="1">IF(ISERROR($S91),"",OFFSET('Smelter Reference List'!$G$4,$S91-4,0))</f>
        <v>0</v>
      </c>
      <c r="I91" s="294" t="str">
        <f ca="1">IF(ISERROR($S91),"",OFFSET('Smelter Reference List'!$H$4,$S91-4,0))</f>
        <v>Riyadh</v>
      </c>
      <c r="J91" s="294" t="str">
        <f ca="1">IF(ISERROR($S91),"",OFFSET('Smelter Reference List'!$I$4,$S91-4,0))</f>
        <v>Riyadh Province</v>
      </c>
      <c r="K91" s="295"/>
      <c r="L91" s="295"/>
      <c r="M91" s="295"/>
      <c r="N91" s="295"/>
      <c r="O91" s="295"/>
      <c r="P91" s="295"/>
      <c r="Q91" s="296"/>
      <c r="R91" s="227"/>
      <c r="S91" s="228">
        <f ca="1">IF(C91="",NA(),MATCH($B91&amp;$C91,'Smelter Reference List'!$J:$J,0))</f>
        <v>107</v>
      </c>
      <c r="T91" s="229"/>
      <c r="U91" s="229">
        <f t="shared" ca="1" si="4"/>
        <v>0</v>
      </c>
      <c r="V91" s="229"/>
      <c r="W91" s="229"/>
      <c r="Y91" s="223" t="str">
        <f t="shared" ca="1" si="5"/>
        <v>GoldL'azurde Company For Jewelry</v>
      </c>
    </row>
    <row r="92" spans="1:25" s="223" customFormat="1" ht="20.25">
      <c r="A92" s="291" t="s">
        <v>1262</v>
      </c>
      <c r="B92" s="292" t="str">
        <f ca="1">IF(LEN(A92)=0,"",INDEX('Smelter Reference List'!$A:$A,MATCH($A92,'Smelter Reference List'!$E:$E,0)))</f>
        <v>Gold</v>
      </c>
      <c r="C92" s="298" t="str">
        <f ca="1">IF(LEN(A92)=0,"",INDEX('Smelter Reference List'!$C:$C,MATCH($A92,'Smelter Reference List'!$E:$E,0)))</f>
        <v>Lingbao Jinyuan Tonghui Refinery Co., Ltd.</v>
      </c>
      <c r="D92" s="292" t="str">
        <f ca="1">IF(ISERROR($S92),"",OFFSET('Smelter Reference List'!$C$4,$S92-4,0)&amp;"")</f>
        <v>Lingbao Jinyuan Tonghui Refinery Co., Ltd.</v>
      </c>
      <c r="E92" s="292" t="str">
        <f ca="1">IF(ISERROR($S92),"",OFFSET('Smelter Reference List'!$D$4,$S92-4,0)&amp;"")</f>
        <v>CHINA</v>
      </c>
      <c r="F92" s="292" t="str">
        <f ca="1">IF(ISERROR($S92),"",OFFSET('Smelter Reference List'!$E$4,$S92-4,0))</f>
        <v>CID001058</v>
      </c>
      <c r="G92" s="292" t="str">
        <f ca="1">IF(C92=$U$4,"Enter smelter details", IF(ISERROR($S92),"",OFFSET('Smelter Reference List'!$F$4,$S92-4,0)))</f>
        <v>CFSI</v>
      </c>
      <c r="H92" s="293">
        <f ca="1">IF(ISERROR($S92),"",OFFSET('Smelter Reference List'!$G$4,$S92-4,0))</f>
        <v>0</v>
      </c>
      <c r="I92" s="294" t="str">
        <f ca="1">IF(ISERROR($S92),"",OFFSET('Smelter Reference List'!$H$4,$S92-4,0))</f>
        <v>Lingbao</v>
      </c>
      <c r="J92" s="294" t="str">
        <f ca="1">IF(ISERROR($S92),"",OFFSET('Smelter Reference List'!$I$4,$S92-4,0))</f>
        <v>Henan</v>
      </c>
      <c r="K92" s="295"/>
      <c r="L92" s="295"/>
      <c r="M92" s="295"/>
      <c r="N92" s="295"/>
      <c r="O92" s="295"/>
      <c r="P92" s="295"/>
      <c r="Q92" s="296"/>
      <c r="R92" s="227"/>
      <c r="S92" s="228">
        <f ca="1">IF(C92="",NA(),MATCH($B92&amp;$C92,'Smelter Reference List'!$J:$J,0))</f>
        <v>110</v>
      </c>
      <c r="T92" s="229"/>
      <c r="U92" s="229">
        <f t="shared" ca="1" si="4"/>
        <v>0</v>
      </c>
      <c r="V92" s="229"/>
      <c r="W92" s="229"/>
      <c r="Y92" s="223" t="str">
        <f t="shared" ca="1" si="5"/>
        <v>GoldLingbao Jinyuan Tonghui Refinery Co., Ltd.</v>
      </c>
    </row>
    <row r="93" spans="1:25" s="223" customFormat="1" ht="20.25">
      <c r="A93" s="291" t="s">
        <v>1353</v>
      </c>
      <c r="B93" s="292" t="str">
        <f ca="1">IF(LEN(A93)=0,"",INDEX('Smelter Reference List'!$A:$A,MATCH($A93,'Smelter Reference List'!$E:$E,0)))</f>
        <v>Tin</v>
      </c>
      <c r="C93" s="298" t="str">
        <f ca="1">IF(LEN(A93)=0,"",INDEX('Smelter Reference List'!$C:$C,MATCH($A93,'Smelter Reference List'!$E:$E,0)))</f>
        <v>China Tin Group Co., Ltd.</v>
      </c>
      <c r="D93" s="292" t="str">
        <f ca="1">IF(ISERROR($S93),"",OFFSET('Smelter Reference List'!$C$4,$S93-4,0)&amp;"")</f>
        <v>China Tin Group Co., Ltd.</v>
      </c>
      <c r="E93" s="292" t="str">
        <f ca="1">IF(ISERROR($S93),"",OFFSET('Smelter Reference List'!$D$4,$S93-4,0)&amp;"")</f>
        <v>CHINA</v>
      </c>
      <c r="F93" s="292" t="str">
        <f ca="1">IF(ISERROR($S93),"",OFFSET('Smelter Reference List'!$E$4,$S93-4,0))</f>
        <v>CID001070</v>
      </c>
      <c r="G93" s="292" t="str">
        <f ca="1">IF(C93=$U$4,"Enter smelter details", IF(ISERROR($S93),"",OFFSET('Smelter Reference List'!$F$4,$S93-4,0)))</f>
        <v>CFSI</v>
      </c>
      <c r="H93" s="293">
        <f ca="1">IF(ISERROR($S93),"",OFFSET('Smelter Reference List'!$G$4,$S93-4,0))</f>
        <v>0</v>
      </c>
      <c r="I93" s="294" t="str">
        <f ca="1">IF(ISERROR($S93),"",OFFSET('Smelter Reference List'!$H$4,$S93-4,0))</f>
        <v>Laibin</v>
      </c>
      <c r="J93" s="294" t="str">
        <f ca="1">IF(ISERROR($S93),"",OFFSET('Smelter Reference List'!$I$4,$S93-4,0))</f>
        <v>Guangxi</v>
      </c>
      <c r="K93" s="295"/>
      <c r="L93" s="295"/>
      <c r="M93" s="295"/>
      <c r="N93" s="295"/>
      <c r="O93" s="295"/>
      <c r="P93" s="295"/>
      <c r="Q93" s="296"/>
      <c r="R93" s="227"/>
      <c r="S93" s="228">
        <f ca="1">IF(C93="",NA(),MATCH($B93&amp;$C93,'Smelter Reference List'!$J:$J,0))</f>
        <v>324</v>
      </c>
      <c r="T93" s="229"/>
      <c r="U93" s="229">
        <f t="shared" ca="1" si="4"/>
        <v>0</v>
      </c>
      <c r="V93" s="229"/>
      <c r="W93" s="229"/>
      <c r="Y93" s="223" t="str">
        <f t="shared" ca="1" si="5"/>
        <v>TinChina Tin Group Co., Ltd.</v>
      </c>
    </row>
    <row r="94" spans="1:25" s="223" customFormat="1" ht="20.25">
      <c r="A94" s="291" t="s">
        <v>1326</v>
      </c>
      <c r="B94" s="292" t="str">
        <f ca="1">IF(LEN(A94)=0,"",INDEX('Smelter Reference List'!$A:$A,MATCH($A94,'Smelter Reference List'!$E:$E,0)))</f>
        <v>Tantalum</v>
      </c>
      <c r="C94" s="298" t="str">
        <f ca="1">IF(LEN(A94)=0,"",INDEX('Smelter Reference List'!$C:$C,MATCH($A94,'Smelter Reference List'!$E:$E,0)))</f>
        <v>LSM Brasil S.A.</v>
      </c>
      <c r="D94" s="292" t="str">
        <f ca="1">IF(ISERROR($S94),"",OFFSET('Smelter Reference List'!$C$4,$S94-4,0)&amp;"")</f>
        <v>LSM Brasil S.A.</v>
      </c>
      <c r="E94" s="292" t="str">
        <f ca="1">IF(ISERROR($S94),"",OFFSET('Smelter Reference List'!$D$4,$S94-4,0)&amp;"")</f>
        <v>BRAZIL</v>
      </c>
      <c r="F94" s="292" t="str">
        <f ca="1">IF(ISERROR($S94),"",OFFSET('Smelter Reference List'!$E$4,$S94-4,0))</f>
        <v>CID001076</v>
      </c>
      <c r="G94" s="292" t="str">
        <f ca="1">IF(C94=$U$4,"Enter smelter details", IF(ISERROR($S94),"",OFFSET('Smelter Reference List'!$F$4,$S94-4,0)))</f>
        <v>CFSI</v>
      </c>
      <c r="H94" s="293">
        <f ca="1">IF(ISERROR($S94),"",OFFSET('Smelter Reference List'!$G$4,$S94-4,0))</f>
        <v>0</v>
      </c>
      <c r="I94" s="294" t="str">
        <f ca="1">IF(ISERROR($S94),"",OFFSET('Smelter Reference List'!$H$4,$S94-4,0))</f>
        <v>São João del Rei</v>
      </c>
      <c r="J94" s="294" t="str">
        <f ca="1">IF(ISERROR($S94),"",OFFSET('Smelter Reference List'!$I$4,$S94-4,0))</f>
        <v>Minas Gerais</v>
      </c>
      <c r="K94" s="295"/>
      <c r="L94" s="295"/>
      <c r="M94" s="295"/>
      <c r="N94" s="295"/>
      <c r="O94" s="295"/>
      <c r="P94" s="295"/>
      <c r="Q94" s="296"/>
      <c r="R94" s="227"/>
      <c r="S94" s="228">
        <f ca="1">IF(C94="",NA(),MATCH($B94&amp;$C94,'Smelter Reference List'!$J:$J,0))</f>
        <v>277</v>
      </c>
      <c r="T94" s="229"/>
      <c r="U94" s="229">
        <f t="shared" ca="1" si="4"/>
        <v>0</v>
      </c>
      <c r="V94" s="229"/>
      <c r="W94" s="229"/>
      <c r="Y94" s="223" t="str">
        <f t="shared" ca="1" si="5"/>
        <v>TantalumLSM Brasil S.A.</v>
      </c>
    </row>
    <row r="95" spans="1:25" s="223" customFormat="1" ht="20.25">
      <c r="A95" s="291" t="s">
        <v>1263</v>
      </c>
      <c r="B95" s="292" t="str">
        <f ca="1">IF(LEN(A95)=0,"",INDEX('Smelter Reference List'!$A:$A,MATCH($A95,'Smelter Reference List'!$E:$E,0)))</f>
        <v>Gold</v>
      </c>
      <c r="C95" s="298" t="str">
        <f ca="1">IF(LEN(A95)=0,"",INDEX('Smelter Reference List'!$C:$C,MATCH($A95,'Smelter Reference List'!$E:$E,0)))</f>
        <v>LS-NIKKO Copper Inc.</v>
      </c>
      <c r="D95" s="292" t="str">
        <f ca="1">IF(ISERROR($S95),"",OFFSET('Smelter Reference List'!$C$4,$S95-4,0)&amp;"")</f>
        <v>LS-NIKKO Copper Inc.</v>
      </c>
      <c r="E95" s="292" t="str">
        <f ca="1">IF(ISERROR($S95),"",OFFSET('Smelter Reference List'!$D$4,$S95-4,0)&amp;"")</f>
        <v>KOREA (REPUBLIC OF)</v>
      </c>
      <c r="F95" s="292" t="str">
        <f ca="1">IF(ISERROR($S95),"",OFFSET('Smelter Reference List'!$E$4,$S95-4,0))</f>
        <v>CID001078</v>
      </c>
      <c r="G95" s="292" t="str">
        <f ca="1">IF(C95=$U$4,"Enter smelter details", IF(ISERROR($S95),"",OFFSET('Smelter Reference List'!$F$4,$S95-4,0)))</f>
        <v>CFSI</v>
      </c>
      <c r="H95" s="293">
        <f ca="1">IF(ISERROR($S95),"",OFFSET('Smelter Reference List'!$G$4,$S95-4,0))</f>
        <v>0</v>
      </c>
      <c r="I95" s="294" t="str">
        <f ca="1">IF(ISERROR($S95),"",OFFSET('Smelter Reference List'!$H$4,$S95-4,0))</f>
        <v>Onsan-eup</v>
      </c>
      <c r="J95" s="294" t="str">
        <f ca="1">IF(ISERROR($S95),"",OFFSET('Smelter Reference List'!$I$4,$S95-4,0))</f>
        <v>Ulsan</v>
      </c>
      <c r="K95" s="295"/>
      <c r="L95" s="295"/>
      <c r="M95" s="295"/>
      <c r="N95" s="295"/>
      <c r="O95" s="295"/>
      <c r="P95" s="295"/>
      <c r="Q95" s="296"/>
      <c r="R95" s="227"/>
      <c r="S95" s="228">
        <f ca="1">IF(C95="",NA(),MATCH($B95&amp;$C95,'Smelter Reference List'!$J:$J,0))</f>
        <v>112</v>
      </c>
      <c r="T95" s="229"/>
      <c r="U95" s="229">
        <f t="shared" ca="1" si="4"/>
        <v>0</v>
      </c>
      <c r="V95" s="229"/>
      <c r="W95" s="229"/>
      <c r="Y95" s="223" t="str">
        <f t="shared" ca="1" si="5"/>
        <v>GoldLS-NIKKO Copper Inc.</v>
      </c>
    </row>
    <row r="96" spans="1:25" s="223" customFormat="1" ht="20.25">
      <c r="A96" s="291" t="s">
        <v>1265</v>
      </c>
      <c r="B96" s="292" t="str">
        <f ca="1">IF(LEN(A96)=0,"",INDEX('Smelter Reference List'!$A:$A,MATCH($A96,'Smelter Reference List'!$E:$E,0)))</f>
        <v>Gold</v>
      </c>
      <c r="C96" s="298" t="str">
        <f ca="1">IF(LEN(A96)=0,"",INDEX('Smelter Reference List'!$C:$C,MATCH($A96,'Smelter Reference List'!$E:$E,0)))</f>
        <v>Luoyang Zijin Yinhui Gold Refinery Co., Ltd.</v>
      </c>
      <c r="D96" s="292" t="str">
        <f ca="1">IF(ISERROR($S96),"",OFFSET('Smelter Reference List'!$C$4,$S96-4,0)&amp;"")</f>
        <v>Luoyang Zijin Yinhui Gold Refinery Co., Ltd.</v>
      </c>
      <c r="E96" s="292" t="str">
        <f ca="1">IF(ISERROR($S96),"",OFFSET('Smelter Reference List'!$D$4,$S96-4,0)&amp;"")</f>
        <v>CHINA</v>
      </c>
      <c r="F96" s="292" t="str">
        <f ca="1">IF(ISERROR($S96),"",OFFSET('Smelter Reference List'!$E$4,$S96-4,0))</f>
        <v>CID001093</v>
      </c>
      <c r="G96" s="292" t="str">
        <f ca="1">IF(C96=$U$4,"Enter smelter details", IF(ISERROR($S96),"",OFFSET('Smelter Reference List'!$F$4,$S96-4,0)))</f>
        <v>CFSI</v>
      </c>
      <c r="H96" s="293">
        <f ca="1">IF(ISERROR($S96),"",OFFSET('Smelter Reference List'!$G$4,$S96-4,0))</f>
        <v>0</v>
      </c>
      <c r="I96" s="294" t="str">
        <f ca="1">IF(ISERROR($S96),"",OFFSET('Smelter Reference List'!$H$4,$S96-4,0))</f>
        <v>Luoyang</v>
      </c>
      <c r="J96" s="294" t="str">
        <f ca="1">IF(ISERROR($S96),"",OFFSET('Smelter Reference List'!$I$4,$S96-4,0))</f>
        <v>Henan</v>
      </c>
      <c r="K96" s="295"/>
      <c r="L96" s="295"/>
      <c r="M96" s="295"/>
      <c r="N96" s="295"/>
      <c r="O96" s="295"/>
      <c r="P96" s="295"/>
      <c r="Q96" s="296"/>
      <c r="R96" s="227"/>
      <c r="S96" s="228">
        <f ca="1">IF(C96="",NA(),MATCH($B96&amp;$C96,'Smelter Reference List'!$J:$J,0))</f>
        <v>113</v>
      </c>
      <c r="T96" s="229"/>
      <c r="U96" s="229">
        <f t="shared" ca="1" si="4"/>
        <v>0</v>
      </c>
      <c r="V96" s="229"/>
      <c r="W96" s="229"/>
      <c r="Y96" s="223" t="str">
        <f t="shared" ca="1" si="5"/>
        <v>GoldLuoyang Zijin Yinhui Gold Refinery Co., Ltd.</v>
      </c>
    </row>
    <row r="97" spans="1:25" s="223" customFormat="1" ht="20.25">
      <c r="A97" s="291" t="s">
        <v>1354</v>
      </c>
      <c r="B97" s="292" t="str">
        <f ca="1">IF(LEN(A97)=0,"",INDEX('Smelter Reference List'!$A:$A,MATCH($A97,'Smelter Reference List'!$E:$E,0)))</f>
        <v>Tin</v>
      </c>
      <c r="C97" s="298" t="str">
        <f ca="1">IF(LEN(A97)=0,"",INDEX('Smelter Reference List'!$C:$C,MATCH($A97,'Smelter Reference List'!$E:$E,0)))</f>
        <v>Malaysia Smelting Corporation (MSC)</v>
      </c>
      <c r="D97" s="292" t="str">
        <f ca="1">IF(ISERROR($S97),"",OFFSET('Smelter Reference List'!$C$4,$S97-4,0)&amp;"")</f>
        <v>Malaysia Smelting Corporation (MSC)</v>
      </c>
      <c r="E97" s="292" t="str">
        <f ca="1">IF(ISERROR($S97),"",OFFSET('Smelter Reference List'!$D$4,$S97-4,0)&amp;"")</f>
        <v>MALAYSIA</v>
      </c>
      <c r="F97" s="292" t="str">
        <f ca="1">IF(ISERROR($S97),"",OFFSET('Smelter Reference List'!$E$4,$S97-4,0))</f>
        <v>CID001105</v>
      </c>
      <c r="G97" s="292" t="str">
        <f ca="1">IF(C97=$U$4,"Enter smelter details", IF(ISERROR($S97),"",OFFSET('Smelter Reference List'!$F$4,$S97-4,0)))</f>
        <v>CFSI</v>
      </c>
      <c r="H97" s="293">
        <f ca="1">IF(ISERROR($S97),"",OFFSET('Smelter Reference List'!$G$4,$S97-4,0))</f>
        <v>0</v>
      </c>
      <c r="I97" s="294" t="str">
        <f ca="1">IF(ISERROR($S97),"",OFFSET('Smelter Reference List'!$H$4,$S97-4,0))</f>
        <v>Butterworth</v>
      </c>
      <c r="J97" s="294" t="str">
        <f ca="1">IF(ISERROR($S97),"",OFFSET('Smelter Reference List'!$I$4,$S97-4,0))</f>
        <v>Penang</v>
      </c>
      <c r="K97" s="295"/>
      <c r="L97" s="295"/>
      <c r="M97" s="295"/>
      <c r="N97" s="295"/>
      <c r="O97" s="295"/>
      <c r="P97" s="295"/>
      <c r="Q97" s="296"/>
      <c r="R97" s="227"/>
      <c r="S97" s="228">
        <f ca="1">IF(C97="",NA(),MATCH($B97&amp;$C97,'Smelter Reference List'!$J:$J,0))</f>
        <v>380</v>
      </c>
      <c r="T97" s="229"/>
      <c r="U97" s="229">
        <f t="shared" ca="1" si="4"/>
        <v>0</v>
      </c>
      <c r="V97" s="229"/>
      <c r="W97" s="229"/>
      <c r="Y97" s="223" t="str">
        <f t="shared" ca="1" si="5"/>
        <v>TinMalaysia Smelting Corporation (MSC)</v>
      </c>
    </row>
    <row r="98" spans="1:25" s="223" customFormat="1" ht="20.25">
      <c r="A98" s="291" t="s">
        <v>1266</v>
      </c>
      <c r="B98" s="292" t="str">
        <f ca="1">IF(LEN(A98)=0,"",INDEX('Smelter Reference List'!$A:$A,MATCH($A98,'Smelter Reference List'!$E:$E,0)))</f>
        <v>Gold</v>
      </c>
      <c r="C98" s="298" t="str">
        <f ca="1">IF(LEN(A98)=0,"",INDEX('Smelter Reference List'!$C:$C,MATCH($A98,'Smelter Reference List'!$E:$E,0)))</f>
        <v>Materion</v>
      </c>
      <c r="D98" s="292" t="str">
        <f ca="1">IF(ISERROR($S98),"",OFFSET('Smelter Reference List'!$C$4,$S98-4,0)&amp;"")</f>
        <v>Materion</v>
      </c>
      <c r="E98" s="292" t="str">
        <f ca="1">IF(ISERROR($S98),"",OFFSET('Smelter Reference List'!$D$4,$S98-4,0)&amp;"")</f>
        <v>UNITED STATES OF AMERICA</v>
      </c>
      <c r="F98" s="292" t="str">
        <f ca="1">IF(ISERROR($S98),"",OFFSET('Smelter Reference List'!$E$4,$S98-4,0))</f>
        <v>CID001113</v>
      </c>
      <c r="G98" s="292" t="str">
        <f ca="1">IF(C98=$U$4,"Enter smelter details", IF(ISERROR($S98),"",OFFSET('Smelter Reference List'!$F$4,$S98-4,0)))</f>
        <v>CFSI</v>
      </c>
      <c r="H98" s="293">
        <f ca="1">IF(ISERROR($S98),"",OFFSET('Smelter Reference List'!$G$4,$S98-4,0))</f>
        <v>0</v>
      </c>
      <c r="I98" s="294" t="str">
        <f ca="1">IF(ISERROR($S98),"",OFFSET('Smelter Reference List'!$H$4,$S98-4,0))</f>
        <v>Buffalo</v>
      </c>
      <c r="J98" s="294" t="str">
        <f ca="1">IF(ISERROR($S98),"",OFFSET('Smelter Reference List'!$I$4,$S98-4,0))</f>
        <v>New York</v>
      </c>
      <c r="K98" s="295"/>
      <c r="L98" s="295"/>
      <c r="M98" s="295"/>
      <c r="N98" s="295"/>
      <c r="O98" s="295"/>
      <c r="P98" s="295"/>
      <c r="Q98" s="296"/>
      <c r="R98" s="227"/>
      <c r="S98" s="228">
        <f ca="1">IF(C98="",NA(),MATCH($B98&amp;$C98,'Smelter Reference List'!$J:$J,0))</f>
        <v>116</v>
      </c>
      <c r="T98" s="229"/>
      <c r="U98" s="229">
        <f t="shared" ca="1" si="4"/>
        <v>0</v>
      </c>
      <c r="V98" s="229"/>
      <c r="W98" s="229"/>
      <c r="Y98" s="223" t="str">
        <f t="shared" ca="1" si="5"/>
        <v>GoldMaterion</v>
      </c>
    </row>
    <row r="99" spans="1:25" s="223" customFormat="1" ht="20.25">
      <c r="A99" s="291" t="s">
        <v>1267</v>
      </c>
      <c r="B99" s="292" t="str">
        <f ca="1">IF(LEN(A99)=0,"",INDEX('Smelter Reference List'!$A:$A,MATCH($A99,'Smelter Reference List'!$E:$E,0)))</f>
        <v>Gold</v>
      </c>
      <c r="C99" s="298" t="str">
        <f ca="1">IF(LEN(A99)=0,"",INDEX('Smelter Reference List'!$C:$C,MATCH($A99,'Smelter Reference List'!$E:$E,0)))</f>
        <v>Matsuda Sangyo Co., Ltd.</v>
      </c>
      <c r="D99" s="292" t="str">
        <f ca="1">IF(ISERROR($S99),"",OFFSET('Smelter Reference List'!$C$4,$S99-4,0)&amp;"")</f>
        <v>Matsuda Sangyo Co., Ltd.</v>
      </c>
      <c r="E99" s="292" t="str">
        <f ca="1">IF(ISERROR($S99),"",OFFSET('Smelter Reference List'!$D$4,$S99-4,0)&amp;"")</f>
        <v>JAPAN</v>
      </c>
      <c r="F99" s="292" t="str">
        <f ca="1">IF(ISERROR($S99),"",OFFSET('Smelter Reference List'!$E$4,$S99-4,0))</f>
        <v>CID001119</v>
      </c>
      <c r="G99" s="292" t="str">
        <f ca="1">IF(C99=$U$4,"Enter smelter details", IF(ISERROR($S99),"",OFFSET('Smelter Reference List'!$F$4,$S99-4,0)))</f>
        <v>CFSI</v>
      </c>
      <c r="H99" s="293">
        <f ca="1">IF(ISERROR($S99),"",OFFSET('Smelter Reference List'!$G$4,$S99-4,0))</f>
        <v>0</v>
      </c>
      <c r="I99" s="294" t="str">
        <f ca="1">IF(ISERROR($S99),"",OFFSET('Smelter Reference List'!$H$4,$S99-4,0))</f>
        <v>Iruma</v>
      </c>
      <c r="J99" s="294" t="str">
        <f ca="1">IF(ISERROR($S99),"",OFFSET('Smelter Reference List'!$I$4,$S99-4,0))</f>
        <v>Saitama</v>
      </c>
      <c r="K99" s="295"/>
      <c r="L99" s="295"/>
      <c r="M99" s="295"/>
      <c r="N99" s="295"/>
      <c r="O99" s="295"/>
      <c r="P99" s="295"/>
      <c r="Q99" s="296"/>
      <c r="R99" s="227"/>
      <c r="S99" s="228">
        <f ca="1">IF(C99="",NA(),MATCH($B99&amp;$C99,'Smelter Reference List'!$J:$J,0))</f>
        <v>117</v>
      </c>
      <c r="T99" s="229"/>
      <c r="U99" s="229">
        <f t="shared" ca="1" si="4"/>
        <v>0</v>
      </c>
      <c r="V99" s="229"/>
      <c r="W99" s="229"/>
      <c r="Y99" s="223" t="str">
        <f t="shared" ca="1" si="5"/>
        <v>GoldMatsuda Sangyo Co., Ltd.</v>
      </c>
    </row>
    <row r="100" spans="1:25" s="223" customFormat="1" ht="20.25">
      <c r="A100" s="291" t="s">
        <v>3407</v>
      </c>
      <c r="B100" s="292" t="str">
        <f ca="1">IF(LEN(A100)=0,"",INDEX('Smelter Reference List'!$A:$A,MATCH($A100,'Smelter Reference List'!$E:$E,0)))</f>
        <v>Tin</v>
      </c>
      <c r="C100" s="298" t="str">
        <f ca="1">IF(LEN(A100)=0,"",INDEX('Smelter Reference List'!$C:$C,MATCH($A100,'Smelter Reference List'!$E:$E,0)))</f>
        <v>Metallic Resources, Inc.</v>
      </c>
      <c r="D100" s="292" t="str">
        <f ca="1">IF(ISERROR($S100),"",OFFSET('Smelter Reference List'!$C$4,$S100-4,0)&amp;"")</f>
        <v>Metallic Resources, Inc.</v>
      </c>
      <c r="E100" s="292" t="str">
        <f ca="1">IF(ISERROR($S100),"",OFFSET('Smelter Reference List'!$D$4,$S100-4,0)&amp;"")</f>
        <v>UNITED STATES OF AMERICA</v>
      </c>
      <c r="F100" s="292" t="str">
        <f ca="1">IF(ISERROR($S100),"",OFFSET('Smelter Reference List'!$E$4,$S100-4,0))</f>
        <v>CID001142</v>
      </c>
      <c r="G100" s="292" t="str">
        <f ca="1">IF(C100=$U$4,"Enter smelter details", IF(ISERROR($S100),"",OFFSET('Smelter Reference List'!$F$4,$S100-4,0)))</f>
        <v>CFSI</v>
      </c>
      <c r="H100" s="293">
        <f ca="1">IF(ISERROR($S100),"",OFFSET('Smelter Reference List'!$G$4,$S100-4,0))</f>
        <v>0</v>
      </c>
      <c r="I100" s="294" t="str">
        <f ca="1">IF(ISERROR($S100),"",OFFSET('Smelter Reference List'!$H$4,$S100-4,0))</f>
        <v>Twinsburg</v>
      </c>
      <c r="J100" s="294" t="str">
        <f ca="1">IF(ISERROR($S100),"",OFFSET('Smelter Reference List'!$I$4,$S100-4,0))</f>
        <v>Ohio</v>
      </c>
      <c r="K100" s="295"/>
      <c r="L100" s="295"/>
      <c r="M100" s="295"/>
      <c r="N100" s="295"/>
      <c r="O100" s="295"/>
      <c r="P100" s="295"/>
      <c r="Q100" s="296"/>
      <c r="R100" s="227"/>
      <c r="S100" s="228">
        <f ca="1">IF(C100="",NA(),MATCH($B100&amp;$C100,'Smelter Reference List'!$J:$J,0))</f>
        <v>384</v>
      </c>
      <c r="T100" s="229"/>
      <c r="U100" s="229">
        <f t="shared" ca="1" si="4"/>
        <v>0</v>
      </c>
      <c r="V100" s="229"/>
      <c r="W100" s="229"/>
      <c r="Y100" s="223" t="str">
        <f t="shared" ca="1" si="5"/>
        <v>TinMetallic Resources, Inc.</v>
      </c>
    </row>
    <row r="101" spans="1:25" s="223" customFormat="1" ht="20.25">
      <c r="A101" s="291" t="s">
        <v>1268</v>
      </c>
      <c r="B101" s="292" t="str">
        <f ca="1">IF(LEN(A101)=0,"",INDEX('Smelter Reference List'!$A:$A,MATCH($A101,'Smelter Reference List'!$E:$E,0)))</f>
        <v>Gold</v>
      </c>
      <c r="C101" s="298" t="str">
        <f ca="1">IF(LEN(A101)=0,"",INDEX('Smelter Reference List'!$C:$C,MATCH($A101,'Smelter Reference List'!$E:$E,0)))</f>
        <v>Metalor Technologies (Hong Kong) Ltd.</v>
      </c>
      <c r="D101" s="292" t="str">
        <f ca="1">IF(ISERROR($S101),"",OFFSET('Smelter Reference List'!$C$4,$S101-4,0)&amp;"")</f>
        <v>Metalor Technologies (Hong Kong) Ltd.</v>
      </c>
      <c r="E101" s="292" t="str">
        <f ca="1">IF(ISERROR($S101),"",OFFSET('Smelter Reference List'!$D$4,$S101-4,0)&amp;"")</f>
        <v>CHINA</v>
      </c>
      <c r="F101" s="292" t="str">
        <f ca="1">IF(ISERROR($S101),"",OFFSET('Smelter Reference List'!$E$4,$S101-4,0))</f>
        <v>CID001149</v>
      </c>
      <c r="G101" s="292" t="str">
        <f ca="1">IF(C101=$U$4,"Enter smelter details", IF(ISERROR($S101),"",OFFSET('Smelter Reference List'!$F$4,$S101-4,0)))</f>
        <v>CFSI</v>
      </c>
      <c r="H101" s="293">
        <f ca="1">IF(ISERROR($S101),"",OFFSET('Smelter Reference List'!$G$4,$S101-4,0))</f>
        <v>0</v>
      </c>
      <c r="I101" s="294" t="str">
        <f ca="1">IF(ISERROR($S101),"",OFFSET('Smelter Reference List'!$H$4,$S101-4,0))</f>
        <v>Kwai Chung</v>
      </c>
      <c r="J101" s="294" t="str">
        <f ca="1">IF(ISERROR($S101),"",OFFSET('Smelter Reference List'!$I$4,$S101-4,0))</f>
        <v>Hong Kong</v>
      </c>
      <c r="K101" s="295"/>
      <c r="L101" s="295"/>
      <c r="M101" s="295"/>
      <c r="N101" s="295"/>
      <c r="O101" s="295"/>
      <c r="P101" s="295"/>
      <c r="Q101" s="296"/>
      <c r="R101" s="227"/>
      <c r="S101" s="228">
        <f ca="1">IF(C101="",NA(),MATCH($B101&amp;$C101,'Smelter Reference List'!$J:$J,0))</f>
        <v>121</v>
      </c>
      <c r="T101" s="229"/>
      <c r="U101" s="229">
        <f t="shared" ca="1" si="4"/>
        <v>0</v>
      </c>
      <c r="V101" s="229"/>
      <c r="W101" s="229"/>
      <c r="Y101" s="223" t="str">
        <f t="shared" ca="1" si="5"/>
        <v>GoldMetalor Technologies (Hong Kong) Ltd.</v>
      </c>
    </row>
    <row r="102" spans="1:25" s="223" customFormat="1" ht="20.25">
      <c r="A102" s="291" t="s">
        <v>1269</v>
      </c>
      <c r="B102" s="292" t="str">
        <f ca="1">IF(LEN(A102)=0,"",INDEX('Smelter Reference List'!$A:$A,MATCH($A102,'Smelter Reference List'!$E:$E,0)))</f>
        <v>Gold</v>
      </c>
      <c r="C102" s="298" t="str">
        <f ca="1">IF(LEN(A102)=0,"",INDEX('Smelter Reference List'!$C:$C,MATCH($A102,'Smelter Reference List'!$E:$E,0)))</f>
        <v>Metalor Technologies (Singapore) Pte., Ltd.</v>
      </c>
      <c r="D102" s="292" t="str">
        <f ca="1">IF(ISERROR($S102),"",OFFSET('Smelter Reference List'!$C$4,$S102-4,0)&amp;"")</f>
        <v>Metalor Technologies (Singapore) Pte., Ltd.</v>
      </c>
      <c r="E102" s="292" t="str">
        <f ca="1">IF(ISERROR($S102),"",OFFSET('Smelter Reference List'!$D$4,$S102-4,0)&amp;"")</f>
        <v>SINGAPORE</v>
      </c>
      <c r="F102" s="292" t="str">
        <f ca="1">IF(ISERROR($S102),"",OFFSET('Smelter Reference List'!$E$4,$S102-4,0))</f>
        <v>CID001152</v>
      </c>
      <c r="G102" s="292" t="str">
        <f ca="1">IF(C102=$U$4,"Enter smelter details", IF(ISERROR($S102),"",OFFSET('Smelter Reference List'!$F$4,$S102-4,0)))</f>
        <v>CFSI</v>
      </c>
      <c r="H102" s="293">
        <f ca="1">IF(ISERROR($S102),"",OFFSET('Smelter Reference List'!$G$4,$S102-4,0))</f>
        <v>0</v>
      </c>
      <c r="I102" s="294" t="str">
        <f ca="1">IF(ISERROR($S102),"",OFFSET('Smelter Reference List'!$H$4,$S102-4,0))</f>
        <v>Tuas</v>
      </c>
      <c r="J102" s="294" t="str">
        <f ca="1">IF(ISERROR($S102),"",OFFSET('Smelter Reference List'!$I$4,$S102-4,0))</f>
        <v>Singapore</v>
      </c>
      <c r="K102" s="295"/>
      <c r="L102" s="295"/>
      <c r="M102" s="295"/>
      <c r="N102" s="295"/>
      <c r="O102" s="295"/>
      <c r="P102" s="295"/>
      <c r="Q102" s="296"/>
      <c r="R102" s="227"/>
      <c r="S102" s="228">
        <f ca="1">IF(C102="",NA(),MATCH($B102&amp;$C102,'Smelter Reference List'!$J:$J,0))</f>
        <v>122</v>
      </c>
      <c r="T102" s="229"/>
      <c r="U102" s="229">
        <f t="shared" ca="1" si="4"/>
        <v>0</v>
      </c>
      <c r="V102" s="229"/>
      <c r="W102" s="229"/>
      <c r="Y102" s="223" t="str">
        <f t="shared" ca="1" si="5"/>
        <v>GoldMetalor Technologies (Singapore) Pte., Ltd.</v>
      </c>
    </row>
    <row r="103" spans="1:25" s="223" customFormat="1" ht="20.25">
      <c r="A103" s="291" t="s">
        <v>1270</v>
      </c>
      <c r="B103" s="292" t="str">
        <f ca="1">IF(LEN(A103)=0,"",INDEX('Smelter Reference List'!$A:$A,MATCH($A103,'Smelter Reference List'!$E:$E,0)))</f>
        <v>Gold</v>
      </c>
      <c r="C103" s="298" t="str">
        <f ca="1">IF(LEN(A103)=0,"",INDEX('Smelter Reference List'!$C:$C,MATCH($A103,'Smelter Reference List'!$E:$E,0)))</f>
        <v>Metalor Technologies S.A.</v>
      </c>
      <c r="D103" s="292" t="str">
        <f ca="1">IF(ISERROR($S103),"",OFFSET('Smelter Reference List'!$C$4,$S103-4,0)&amp;"")</f>
        <v>Metalor Technologies S.A.</v>
      </c>
      <c r="E103" s="292" t="str">
        <f ca="1">IF(ISERROR($S103),"",OFFSET('Smelter Reference List'!$D$4,$S103-4,0)&amp;"")</f>
        <v>SWITZERLAND</v>
      </c>
      <c r="F103" s="292" t="str">
        <f ca="1">IF(ISERROR($S103),"",OFFSET('Smelter Reference List'!$E$4,$S103-4,0))</f>
        <v>CID001153</v>
      </c>
      <c r="G103" s="292" t="str">
        <f ca="1">IF(C103=$U$4,"Enter smelter details", IF(ISERROR($S103),"",OFFSET('Smelter Reference List'!$F$4,$S103-4,0)))</f>
        <v>CFSI</v>
      </c>
      <c r="H103" s="293">
        <f ca="1">IF(ISERROR($S103),"",OFFSET('Smelter Reference List'!$G$4,$S103-4,0))</f>
        <v>0</v>
      </c>
      <c r="I103" s="294" t="str">
        <f ca="1">IF(ISERROR($S103),"",OFFSET('Smelter Reference List'!$H$4,$S103-4,0))</f>
        <v>Marin</v>
      </c>
      <c r="J103" s="294" t="str">
        <f ca="1">IF(ISERROR($S103),"",OFFSET('Smelter Reference List'!$I$4,$S103-4,0))</f>
        <v>Neuchâtel</v>
      </c>
      <c r="K103" s="295"/>
      <c r="L103" s="295"/>
      <c r="M103" s="295"/>
      <c r="N103" s="295"/>
      <c r="O103" s="295"/>
      <c r="P103" s="295"/>
      <c r="Q103" s="296"/>
      <c r="R103" s="227"/>
      <c r="S103" s="228">
        <f ca="1">IF(C103="",NA(),MATCH($B103&amp;$C103,'Smelter Reference List'!$J:$J,0))</f>
        <v>124</v>
      </c>
      <c r="T103" s="229"/>
      <c r="U103" s="229">
        <f t="shared" ca="1" si="4"/>
        <v>0</v>
      </c>
      <c r="V103" s="229"/>
      <c r="W103" s="229"/>
      <c r="Y103" s="223" t="str">
        <f t="shared" ca="1" si="5"/>
        <v>GoldMetalor Technologies S.A.</v>
      </c>
    </row>
    <row r="104" spans="1:25" s="223" customFormat="1" ht="20.25">
      <c r="A104" s="291" t="s">
        <v>1271</v>
      </c>
      <c r="B104" s="292" t="str">
        <f ca="1">IF(LEN(A104)=0,"",INDEX('Smelter Reference List'!$A:$A,MATCH($A104,'Smelter Reference List'!$E:$E,0)))</f>
        <v>Gold</v>
      </c>
      <c r="C104" s="298" t="str">
        <f ca="1">IF(LEN(A104)=0,"",INDEX('Smelter Reference List'!$C:$C,MATCH($A104,'Smelter Reference List'!$E:$E,0)))</f>
        <v>Metalor USA Refining Corporation</v>
      </c>
      <c r="D104" s="292" t="str">
        <f ca="1">IF(ISERROR($S104),"",OFFSET('Smelter Reference List'!$C$4,$S104-4,0)&amp;"")</f>
        <v>Metalor USA Refining Corporation</v>
      </c>
      <c r="E104" s="292" t="str">
        <f ca="1">IF(ISERROR($S104),"",OFFSET('Smelter Reference List'!$D$4,$S104-4,0)&amp;"")</f>
        <v>UNITED STATES OF AMERICA</v>
      </c>
      <c r="F104" s="292" t="str">
        <f ca="1">IF(ISERROR($S104),"",OFFSET('Smelter Reference List'!$E$4,$S104-4,0))</f>
        <v>CID001157</v>
      </c>
      <c r="G104" s="292" t="str">
        <f ca="1">IF(C104=$U$4,"Enter smelter details", IF(ISERROR($S104),"",OFFSET('Smelter Reference List'!$F$4,$S104-4,0)))</f>
        <v>CFSI</v>
      </c>
      <c r="H104" s="293">
        <f ca="1">IF(ISERROR($S104),"",OFFSET('Smelter Reference List'!$G$4,$S104-4,0))</f>
        <v>0</v>
      </c>
      <c r="I104" s="294" t="str">
        <f ca="1">IF(ISERROR($S104),"",OFFSET('Smelter Reference List'!$H$4,$S104-4,0))</f>
        <v>North Attleboro</v>
      </c>
      <c r="J104" s="294" t="str">
        <f ca="1">IF(ISERROR($S104),"",OFFSET('Smelter Reference List'!$I$4,$S104-4,0))</f>
        <v>Massachusetts</v>
      </c>
      <c r="K104" s="295"/>
      <c r="L104" s="295"/>
      <c r="M104" s="295"/>
      <c r="N104" s="295"/>
      <c r="O104" s="295"/>
      <c r="P104" s="295"/>
      <c r="Q104" s="296"/>
      <c r="R104" s="227"/>
      <c r="S104" s="228">
        <f ca="1">IF(C104="",NA(),MATCH($B104&amp;$C104,'Smelter Reference List'!$J:$J,0))</f>
        <v>125</v>
      </c>
      <c r="T104" s="229"/>
      <c r="U104" s="229">
        <f t="shared" ca="1" si="4"/>
        <v>0</v>
      </c>
      <c r="V104" s="229"/>
      <c r="W104" s="229"/>
      <c r="Y104" s="223" t="str">
        <f t="shared" ca="1" si="5"/>
        <v>GoldMetalor USA Refining Corporation</v>
      </c>
    </row>
    <row r="105" spans="1:25" s="223" customFormat="1" ht="20.25">
      <c r="A105" s="291" t="s">
        <v>1272</v>
      </c>
      <c r="B105" s="292" t="str">
        <f ca="1">IF(LEN(A105)=0,"",INDEX('Smelter Reference List'!$A:$A,MATCH($A105,'Smelter Reference List'!$E:$E,0)))</f>
        <v>Gold</v>
      </c>
      <c r="C105" s="298" t="str">
        <f ca="1">IF(LEN(A105)=0,"",INDEX('Smelter Reference List'!$C:$C,MATCH($A105,'Smelter Reference List'!$E:$E,0)))</f>
        <v>Metalúrgica Met-Mex Peñoles S.A. De C.V.</v>
      </c>
      <c r="D105" s="292" t="str">
        <f ca="1">IF(ISERROR($S105),"",OFFSET('Smelter Reference List'!$C$4,$S105-4,0)&amp;"")</f>
        <v>Metalúrgica Met-Mex Peñoles S.A. De C.V.</v>
      </c>
      <c r="E105" s="292" t="str">
        <f ca="1">IF(ISERROR($S105),"",OFFSET('Smelter Reference List'!$D$4,$S105-4,0)&amp;"")</f>
        <v>MEXICO</v>
      </c>
      <c r="F105" s="292" t="str">
        <f ca="1">IF(ISERROR($S105),"",OFFSET('Smelter Reference List'!$E$4,$S105-4,0))</f>
        <v>CID001161</v>
      </c>
      <c r="G105" s="292" t="str">
        <f ca="1">IF(C105=$U$4,"Enter smelter details", IF(ISERROR($S105),"",OFFSET('Smelter Reference List'!$F$4,$S105-4,0)))</f>
        <v>CFSI</v>
      </c>
      <c r="H105" s="293">
        <f ca="1">IF(ISERROR($S105),"",OFFSET('Smelter Reference List'!$G$4,$S105-4,0))</f>
        <v>0</v>
      </c>
      <c r="I105" s="294" t="str">
        <f ca="1">IF(ISERROR($S105),"",OFFSET('Smelter Reference List'!$H$4,$S105-4,0))</f>
        <v>Torreon</v>
      </c>
      <c r="J105" s="294" t="str">
        <f ca="1">IF(ISERROR($S105),"",OFFSET('Smelter Reference List'!$I$4,$S105-4,0))</f>
        <v>Coahuila</v>
      </c>
      <c r="K105" s="295"/>
      <c r="L105" s="295"/>
      <c r="M105" s="295"/>
      <c r="N105" s="295"/>
      <c r="O105" s="295"/>
      <c r="P105" s="295"/>
      <c r="Q105" s="296"/>
      <c r="R105" s="227"/>
      <c r="S105" s="228">
        <f ca="1">IF(C105="",NA(),MATCH($B105&amp;$C105,'Smelter Reference List'!$J:$J,0))</f>
        <v>126</v>
      </c>
      <c r="T105" s="229"/>
      <c r="U105" s="229">
        <f t="shared" ca="1" si="4"/>
        <v>0</v>
      </c>
      <c r="V105" s="229"/>
      <c r="W105" s="229"/>
      <c r="Y105" s="223" t="str">
        <f t="shared" ca="1" si="5"/>
        <v>GoldMetalúrgica Met-Mex Peñoles S.A. De C.V.</v>
      </c>
    </row>
    <row r="106" spans="1:25" s="223" customFormat="1" ht="20.25">
      <c r="A106" s="291" t="s">
        <v>1327</v>
      </c>
      <c r="B106" s="292" t="str">
        <f ca="1">IF(LEN(A106)=0,"",INDEX('Smelter Reference List'!$A:$A,MATCH($A106,'Smelter Reference List'!$E:$E,0)))</f>
        <v>Tantalum</v>
      </c>
      <c r="C106" s="298" t="str">
        <f ca="1">IF(LEN(A106)=0,"",INDEX('Smelter Reference List'!$C:$C,MATCH($A106,'Smelter Reference List'!$E:$E,0)))</f>
        <v>Metallurgical Products India Pvt., Ltd.</v>
      </c>
      <c r="D106" s="292" t="str">
        <f ca="1">IF(ISERROR($S106),"",OFFSET('Smelter Reference List'!$C$4,$S106-4,0)&amp;"")</f>
        <v>Metallurgical Products India Pvt., Ltd.</v>
      </c>
      <c r="E106" s="292" t="str">
        <f ca="1">IF(ISERROR($S106),"",OFFSET('Smelter Reference List'!$D$4,$S106-4,0)&amp;"")</f>
        <v>INDIA</v>
      </c>
      <c r="F106" s="292" t="str">
        <f ca="1">IF(ISERROR($S106),"",OFFSET('Smelter Reference List'!$E$4,$S106-4,0))</f>
        <v>CID001163</v>
      </c>
      <c r="G106" s="292" t="str">
        <f ca="1">IF(C106=$U$4,"Enter smelter details", IF(ISERROR($S106),"",OFFSET('Smelter Reference List'!$F$4,$S106-4,0)))</f>
        <v>CFSI</v>
      </c>
      <c r="H106" s="293">
        <f ca="1">IF(ISERROR($S106),"",OFFSET('Smelter Reference List'!$G$4,$S106-4,0))</f>
        <v>0</v>
      </c>
      <c r="I106" s="294" t="str">
        <f ca="1">IF(ISERROR($S106),"",OFFSET('Smelter Reference List'!$H$4,$S106-4,0))</f>
        <v>District Raigad</v>
      </c>
      <c r="J106" s="294" t="str">
        <f ca="1">IF(ISERROR($S106),"",OFFSET('Smelter Reference List'!$I$4,$S106-4,0))</f>
        <v>Maharashtra</v>
      </c>
      <c r="K106" s="295"/>
      <c r="L106" s="295"/>
      <c r="M106" s="295"/>
      <c r="N106" s="295"/>
      <c r="O106" s="295"/>
      <c r="P106" s="295"/>
      <c r="Q106" s="296"/>
      <c r="R106" s="227"/>
      <c r="S106" s="228">
        <f ca="1">IF(C106="",NA(),MATCH($B106&amp;$C106,'Smelter Reference List'!$J:$J,0))</f>
        <v>279</v>
      </c>
      <c r="T106" s="229"/>
      <c r="U106" s="229">
        <f t="shared" ca="1" si="4"/>
        <v>0</v>
      </c>
      <c r="V106" s="229"/>
      <c r="W106" s="229"/>
      <c r="Y106" s="223" t="str">
        <f t="shared" ca="1" si="5"/>
        <v>TantalumMetallurgical Products India Pvt., Ltd.</v>
      </c>
    </row>
    <row r="107" spans="1:25" s="223" customFormat="1" ht="20.25">
      <c r="A107" s="291" t="s">
        <v>1355</v>
      </c>
      <c r="B107" s="292" t="str">
        <f ca="1">IF(LEN(A107)=0,"",INDEX('Smelter Reference List'!$A:$A,MATCH($A107,'Smelter Reference List'!$E:$E,0)))</f>
        <v>Tin</v>
      </c>
      <c r="C107" s="298" t="str">
        <f ca="1">IF(LEN(A107)=0,"",INDEX('Smelter Reference List'!$C:$C,MATCH($A107,'Smelter Reference List'!$E:$E,0)))</f>
        <v>Mineração Taboca S.A.</v>
      </c>
      <c r="D107" s="292" t="str">
        <f ca="1">IF(ISERROR($S107),"",OFFSET('Smelter Reference List'!$C$4,$S107-4,0)&amp;"")</f>
        <v>Mineração Taboca S.A.</v>
      </c>
      <c r="E107" s="292" t="str">
        <f ca="1">IF(ISERROR($S107),"",OFFSET('Smelter Reference List'!$D$4,$S107-4,0)&amp;"")</f>
        <v>BRAZIL</v>
      </c>
      <c r="F107" s="292" t="str">
        <f ca="1">IF(ISERROR($S107),"",OFFSET('Smelter Reference List'!$E$4,$S107-4,0))</f>
        <v>CID001173</v>
      </c>
      <c r="G107" s="292" t="str">
        <f ca="1">IF(C107=$U$4,"Enter smelter details", IF(ISERROR($S107),"",OFFSET('Smelter Reference List'!$F$4,$S107-4,0)))</f>
        <v>CFSI</v>
      </c>
      <c r="H107" s="293">
        <f ca="1">IF(ISERROR($S107),"",OFFSET('Smelter Reference List'!$G$4,$S107-4,0))</f>
        <v>0</v>
      </c>
      <c r="I107" s="294" t="str">
        <f ca="1">IF(ISERROR($S107),"",OFFSET('Smelter Reference List'!$H$4,$S107-4,0))</f>
        <v>Bairro Guarapiranga</v>
      </c>
      <c r="J107" s="294" t="str">
        <f ca="1">IF(ISERROR($S107),"",OFFSET('Smelter Reference List'!$I$4,$S107-4,0))</f>
        <v>São Paulo</v>
      </c>
      <c r="K107" s="295"/>
      <c r="L107" s="295"/>
      <c r="M107" s="295"/>
      <c r="N107" s="295"/>
      <c r="O107" s="295"/>
      <c r="P107" s="295"/>
      <c r="Q107" s="296"/>
      <c r="R107" s="227"/>
      <c r="S107" s="228">
        <f ca="1">IF(C107="",NA(),MATCH($B107&amp;$C107,'Smelter Reference List'!$J:$J,0))</f>
        <v>386</v>
      </c>
      <c r="T107" s="229"/>
      <c r="U107" s="229">
        <f t="shared" ca="1" si="4"/>
        <v>0</v>
      </c>
      <c r="V107" s="229"/>
      <c r="W107" s="229"/>
      <c r="Y107" s="223" t="str">
        <f t="shared" ca="1" si="5"/>
        <v>TinMineração Taboca S.A.</v>
      </c>
    </row>
    <row r="108" spans="1:25" s="223" customFormat="1" ht="20.25">
      <c r="A108" s="291" t="s">
        <v>1328</v>
      </c>
      <c r="B108" s="292" t="str">
        <f ca="1">IF(LEN(A108)=0,"",INDEX('Smelter Reference List'!$A:$A,MATCH($A108,'Smelter Reference List'!$E:$E,0)))</f>
        <v>Tantalum</v>
      </c>
      <c r="C108" s="298" t="str">
        <f ca="1">IF(LEN(A108)=0,"",INDEX('Smelter Reference List'!$C:$C,MATCH($A108,'Smelter Reference List'!$E:$E,0)))</f>
        <v>Mineração Taboca S.A.</v>
      </c>
      <c r="D108" s="292" t="str">
        <f ca="1">IF(ISERROR($S108),"",OFFSET('Smelter Reference List'!$C$4,$S108-4,0)&amp;"")</f>
        <v>Mineração Taboca S.A.</v>
      </c>
      <c r="E108" s="292" t="str">
        <f ca="1">IF(ISERROR($S108),"",OFFSET('Smelter Reference List'!$D$4,$S108-4,0)&amp;"")</f>
        <v>BRAZIL</v>
      </c>
      <c r="F108" s="292" t="str">
        <f ca="1">IF(ISERROR($S108),"",OFFSET('Smelter Reference List'!$E$4,$S108-4,0))</f>
        <v>CID001175</v>
      </c>
      <c r="G108" s="292" t="str">
        <f ca="1">IF(C108=$U$4,"Enter smelter details", IF(ISERROR($S108),"",OFFSET('Smelter Reference List'!$F$4,$S108-4,0)))</f>
        <v>CFSI</v>
      </c>
      <c r="H108" s="293">
        <f ca="1">IF(ISERROR($S108),"",OFFSET('Smelter Reference List'!$G$4,$S108-4,0))</f>
        <v>0</v>
      </c>
      <c r="I108" s="294" t="str">
        <f ca="1">IF(ISERROR($S108),"",OFFSET('Smelter Reference List'!$H$4,$S108-4,0))</f>
        <v>Presidente Figueiredo</v>
      </c>
      <c r="J108" s="294" t="str">
        <f ca="1">IF(ISERROR($S108),"",OFFSET('Smelter Reference List'!$I$4,$S108-4,0))</f>
        <v>Amazonas</v>
      </c>
      <c r="K108" s="295"/>
      <c r="L108" s="295"/>
      <c r="M108" s="295"/>
      <c r="N108" s="295"/>
      <c r="O108" s="295"/>
      <c r="P108" s="295"/>
      <c r="Q108" s="296"/>
      <c r="R108" s="227"/>
      <c r="S108" s="228">
        <f ca="1">IF(C108="",NA(),MATCH($B108&amp;$C108,'Smelter Reference List'!$J:$J,0))</f>
        <v>280</v>
      </c>
      <c r="T108" s="229"/>
      <c r="U108" s="229">
        <f t="shared" ca="1" si="4"/>
        <v>0</v>
      </c>
      <c r="V108" s="229"/>
      <c r="W108" s="229"/>
      <c r="Y108" s="223" t="str">
        <f t="shared" ca="1" si="5"/>
        <v>TantalumMineração Taboca S.A.</v>
      </c>
    </row>
    <row r="109" spans="1:25" s="223" customFormat="1" ht="20.25">
      <c r="A109" s="291" t="s">
        <v>1356</v>
      </c>
      <c r="B109" s="292" t="str">
        <f ca="1">IF(LEN(A109)=0,"",INDEX('Smelter Reference List'!$A:$A,MATCH($A109,'Smelter Reference List'!$E:$E,0)))</f>
        <v>Tin</v>
      </c>
      <c r="C109" s="298" t="str">
        <f ca="1">IF(LEN(A109)=0,"",INDEX('Smelter Reference List'!$C:$C,MATCH($A109,'Smelter Reference List'!$E:$E,0)))</f>
        <v>Minsur</v>
      </c>
      <c r="D109" s="292" t="str">
        <f ca="1">IF(ISERROR($S109),"",OFFSET('Smelter Reference List'!$C$4,$S109-4,0)&amp;"")</f>
        <v>Minsur</v>
      </c>
      <c r="E109" s="292" t="str">
        <f ca="1">IF(ISERROR($S109),"",OFFSET('Smelter Reference List'!$D$4,$S109-4,0)&amp;"")</f>
        <v>PERU</v>
      </c>
      <c r="F109" s="292" t="str">
        <f ca="1">IF(ISERROR($S109),"",OFFSET('Smelter Reference List'!$E$4,$S109-4,0))</f>
        <v>CID001182</v>
      </c>
      <c r="G109" s="292" t="str">
        <f ca="1">IF(C109=$U$4,"Enter smelter details", IF(ISERROR($S109),"",OFFSET('Smelter Reference List'!$F$4,$S109-4,0)))</f>
        <v>CFSI</v>
      </c>
      <c r="H109" s="293">
        <f ca="1">IF(ISERROR($S109),"",OFFSET('Smelter Reference List'!$G$4,$S109-4,0))</f>
        <v>0</v>
      </c>
      <c r="I109" s="294" t="str">
        <f ca="1">IF(ISERROR($S109),"",OFFSET('Smelter Reference List'!$H$4,$S109-4,0))</f>
        <v>Paracas</v>
      </c>
      <c r="J109" s="294" t="str">
        <f ca="1">IF(ISERROR($S109),"",OFFSET('Smelter Reference List'!$I$4,$S109-4,0))</f>
        <v>Ica</v>
      </c>
      <c r="K109" s="295"/>
      <c r="L109" s="295"/>
      <c r="M109" s="295"/>
      <c r="N109" s="295"/>
      <c r="O109" s="295"/>
      <c r="P109" s="295"/>
      <c r="Q109" s="296"/>
      <c r="R109" s="227"/>
      <c r="S109" s="228">
        <f ca="1">IF(C109="",NA(),MATCH($B109&amp;$C109,'Smelter Reference List'!$J:$J,0))</f>
        <v>387</v>
      </c>
      <c r="T109" s="229"/>
      <c r="U109" s="229">
        <f t="shared" ca="1" si="4"/>
        <v>0</v>
      </c>
      <c r="V109" s="229"/>
      <c r="W109" s="229"/>
      <c r="Y109" s="223" t="str">
        <f t="shared" ca="1" si="5"/>
        <v>TinMinsur</v>
      </c>
    </row>
    <row r="110" spans="1:25" s="223" customFormat="1" ht="20.25">
      <c r="A110" s="291" t="s">
        <v>1273</v>
      </c>
      <c r="B110" s="292" t="str">
        <f ca="1">IF(LEN(A110)=0,"",INDEX('Smelter Reference List'!$A:$A,MATCH($A110,'Smelter Reference List'!$E:$E,0)))</f>
        <v>Gold</v>
      </c>
      <c r="C110" s="298" t="str">
        <f ca="1">IF(LEN(A110)=0,"",INDEX('Smelter Reference List'!$C:$C,MATCH($A110,'Smelter Reference List'!$E:$E,0)))</f>
        <v>Mitsubishi Materials Corporation</v>
      </c>
      <c r="D110" s="292" t="str">
        <f ca="1">IF(ISERROR($S110),"",OFFSET('Smelter Reference List'!$C$4,$S110-4,0)&amp;"")</f>
        <v>Mitsubishi Materials Corporation</v>
      </c>
      <c r="E110" s="292" t="str">
        <f ca="1">IF(ISERROR($S110),"",OFFSET('Smelter Reference List'!$D$4,$S110-4,0)&amp;"")</f>
        <v>JAPAN</v>
      </c>
      <c r="F110" s="292" t="str">
        <f ca="1">IF(ISERROR($S110),"",OFFSET('Smelter Reference List'!$E$4,$S110-4,0))</f>
        <v>CID001188</v>
      </c>
      <c r="G110" s="292" t="str">
        <f ca="1">IF(C110=$U$4,"Enter smelter details", IF(ISERROR($S110),"",OFFSET('Smelter Reference List'!$F$4,$S110-4,0)))</f>
        <v>CFSI</v>
      </c>
      <c r="H110" s="293">
        <f ca="1">IF(ISERROR($S110),"",OFFSET('Smelter Reference List'!$G$4,$S110-4,0))</f>
        <v>0</v>
      </c>
      <c r="I110" s="294" t="str">
        <f ca="1">IF(ISERROR($S110),"",OFFSET('Smelter Reference List'!$H$4,$S110-4,0))</f>
        <v>Naoshima</v>
      </c>
      <c r="J110" s="294" t="str">
        <f ca="1">IF(ISERROR($S110),"",OFFSET('Smelter Reference List'!$I$4,$S110-4,0))</f>
        <v>Kagawa</v>
      </c>
      <c r="K110" s="295"/>
      <c r="L110" s="295"/>
      <c r="M110" s="295"/>
      <c r="N110" s="295"/>
      <c r="O110" s="295"/>
      <c r="P110" s="295"/>
      <c r="Q110" s="296"/>
      <c r="R110" s="227"/>
      <c r="S110" s="228">
        <f ca="1">IF(C110="",NA(),MATCH($B110&amp;$C110,'Smelter Reference List'!$J:$J,0))</f>
        <v>129</v>
      </c>
      <c r="T110" s="229"/>
      <c r="U110" s="229">
        <f t="shared" ca="1" si="4"/>
        <v>0</v>
      </c>
      <c r="V110" s="229"/>
      <c r="W110" s="229"/>
      <c r="Y110" s="223" t="str">
        <f t="shared" ca="1" si="5"/>
        <v>GoldMitsubishi Materials Corporation</v>
      </c>
    </row>
    <row r="111" spans="1:25" s="223" customFormat="1" ht="20.25">
      <c r="A111" s="291" t="s">
        <v>1357</v>
      </c>
      <c r="B111" s="292" t="str">
        <f ca="1">IF(LEN(A111)=0,"",INDEX('Smelter Reference List'!$A:$A,MATCH($A111,'Smelter Reference List'!$E:$E,0)))</f>
        <v>Tin</v>
      </c>
      <c r="C111" s="298" t="str">
        <f ca="1">IF(LEN(A111)=0,"",INDEX('Smelter Reference List'!$C:$C,MATCH($A111,'Smelter Reference List'!$E:$E,0)))</f>
        <v>Mitsubishi Materials Corporation</v>
      </c>
      <c r="D111" s="292" t="str">
        <f ca="1">IF(ISERROR($S111),"",OFFSET('Smelter Reference List'!$C$4,$S111-4,0)&amp;"")</f>
        <v>Mitsubishi Materials Corporation</v>
      </c>
      <c r="E111" s="292" t="str">
        <f ca="1">IF(ISERROR($S111),"",OFFSET('Smelter Reference List'!$D$4,$S111-4,0)&amp;"")</f>
        <v>JAPAN</v>
      </c>
      <c r="F111" s="292" t="str">
        <f ca="1">IF(ISERROR($S111),"",OFFSET('Smelter Reference List'!$E$4,$S111-4,0))</f>
        <v>CID001191</v>
      </c>
      <c r="G111" s="292" t="str">
        <f ca="1">IF(C111=$U$4,"Enter smelter details", IF(ISERROR($S111),"",OFFSET('Smelter Reference List'!$F$4,$S111-4,0)))</f>
        <v>CFSI</v>
      </c>
      <c r="H111" s="293">
        <f ca="1">IF(ISERROR($S111),"",OFFSET('Smelter Reference List'!$G$4,$S111-4,0))</f>
        <v>0</v>
      </c>
      <c r="I111" s="294" t="str">
        <f ca="1">IF(ISERROR($S111),"",OFFSET('Smelter Reference List'!$H$4,$S111-4,0))</f>
        <v>Asago</v>
      </c>
      <c r="J111" s="294" t="str">
        <f ca="1">IF(ISERROR($S111),"",OFFSET('Smelter Reference List'!$I$4,$S111-4,0))</f>
        <v>Hyogo</v>
      </c>
      <c r="K111" s="295"/>
      <c r="L111" s="295"/>
      <c r="M111" s="295"/>
      <c r="N111" s="295"/>
      <c r="O111" s="295"/>
      <c r="P111" s="295"/>
      <c r="Q111" s="296"/>
      <c r="R111" s="227"/>
      <c r="S111" s="228">
        <f ca="1">IF(C111="",NA(),MATCH($B111&amp;$C111,'Smelter Reference List'!$J:$J,0))</f>
        <v>388</v>
      </c>
      <c r="T111" s="229"/>
      <c r="U111" s="229">
        <f t="shared" ca="1" si="4"/>
        <v>0</v>
      </c>
      <c r="V111" s="229"/>
      <c r="W111" s="229"/>
      <c r="Y111" s="223" t="str">
        <f t="shared" ca="1" si="5"/>
        <v>TinMitsubishi Materials Corporation</v>
      </c>
    </row>
    <row r="112" spans="1:25" s="223" customFormat="1" ht="20.25">
      <c r="A112" s="291" t="s">
        <v>1329</v>
      </c>
      <c r="B112" s="292" t="str">
        <f ca="1">IF(LEN(A112)=0,"",INDEX('Smelter Reference List'!$A:$A,MATCH($A112,'Smelter Reference List'!$E:$E,0)))</f>
        <v>Tantalum</v>
      </c>
      <c r="C112" s="298" t="str">
        <f ca="1">IF(LEN(A112)=0,"",INDEX('Smelter Reference List'!$C:$C,MATCH($A112,'Smelter Reference List'!$E:$E,0)))</f>
        <v>Mitsui Mining and Smelting Co., Ltd.</v>
      </c>
      <c r="D112" s="292" t="str">
        <f ca="1">IF(ISERROR($S112),"",OFFSET('Smelter Reference List'!$C$4,$S112-4,0)&amp;"")</f>
        <v>Mitsui Mining and Smelting Co., Ltd.</v>
      </c>
      <c r="E112" s="292" t="str">
        <f ca="1">IF(ISERROR($S112),"",OFFSET('Smelter Reference List'!$D$4,$S112-4,0)&amp;"")</f>
        <v>JAPAN</v>
      </c>
      <c r="F112" s="292" t="str">
        <f ca="1">IF(ISERROR($S112),"",OFFSET('Smelter Reference List'!$E$4,$S112-4,0))</f>
        <v>CID001192</v>
      </c>
      <c r="G112" s="292" t="str">
        <f ca="1">IF(C112=$U$4,"Enter smelter details", IF(ISERROR($S112),"",OFFSET('Smelter Reference List'!$F$4,$S112-4,0)))</f>
        <v>CFSI</v>
      </c>
      <c r="H112" s="293">
        <f ca="1">IF(ISERROR($S112),"",OFFSET('Smelter Reference List'!$G$4,$S112-4,0))</f>
        <v>0</v>
      </c>
      <c r="I112" s="294" t="str">
        <f ca="1">IF(ISERROR($S112),"",OFFSET('Smelter Reference List'!$H$4,$S112-4,0))</f>
        <v>Omuta</v>
      </c>
      <c r="J112" s="294" t="str">
        <f ca="1">IF(ISERROR($S112),"",OFFSET('Smelter Reference List'!$I$4,$S112-4,0))</f>
        <v>Fukuoka</v>
      </c>
      <c r="K112" s="295"/>
      <c r="L112" s="295"/>
      <c r="M112" s="295"/>
      <c r="N112" s="295"/>
      <c r="O112" s="295"/>
      <c r="P112" s="295"/>
      <c r="Q112" s="296"/>
      <c r="R112" s="227"/>
      <c r="S112" s="228">
        <f ca="1">IF(C112="",NA(),MATCH($B112&amp;$C112,'Smelter Reference List'!$J:$J,0))</f>
        <v>281</v>
      </c>
      <c r="T112" s="229"/>
      <c r="U112" s="229">
        <f t="shared" ca="1" si="4"/>
        <v>0</v>
      </c>
      <c r="V112" s="229"/>
      <c r="W112" s="229"/>
      <c r="Y112" s="223" t="str">
        <f t="shared" ca="1" si="5"/>
        <v>TantalumMitsui Mining and Smelting Co., Ltd.</v>
      </c>
    </row>
    <row r="113" spans="1:25" s="223" customFormat="1" ht="20.25">
      <c r="A113" s="291" t="s">
        <v>1274</v>
      </c>
      <c r="B113" s="292" t="str">
        <f ca="1">IF(LEN(A113)=0,"",INDEX('Smelter Reference List'!$A:$A,MATCH($A113,'Smelter Reference List'!$E:$E,0)))</f>
        <v>Gold</v>
      </c>
      <c r="C113" s="298" t="str">
        <f ca="1">IF(LEN(A113)=0,"",INDEX('Smelter Reference List'!$C:$C,MATCH($A113,'Smelter Reference List'!$E:$E,0)))</f>
        <v>Mitsui Mining and Smelting Co., Ltd.</v>
      </c>
      <c r="D113" s="292" t="str">
        <f ca="1">IF(ISERROR($S113),"",OFFSET('Smelter Reference List'!$C$4,$S113-4,0)&amp;"")</f>
        <v>Mitsui Mining and Smelting Co., Ltd.</v>
      </c>
      <c r="E113" s="292" t="str">
        <f ca="1">IF(ISERROR($S113),"",OFFSET('Smelter Reference List'!$D$4,$S113-4,0)&amp;"")</f>
        <v>JAPAN</v>
      </c>
      <c r="F113" s="292" t="str">
        <f ca="1">IF(ISERROR($S113),"",OFFSET('Smelter Reference List'!$E$4,$S113-4,0))</f>
        <v>CID001193</v>
      </c>
      <c r="G113" s="292" t="str">
        <f ca="1">IF(C113=$U$4,"Enter smelter details", IF(ISERROR($S113),"",OFFSET('Smelter Reference List'!$F$4,$S113-4,0)))</f>
        <v>CFSI</v>
      </c>
      <c r="H113" s="293">
        <f ca="1">IF(ISERROR($S113),"",OFFSET('Smelter Reference List'!$G$4,$S113-4,0))</f>
        <v>0</v>
      </c>
      <c r="I113" s="294" t="str">
        <f ca="1">IF(ISERROR($S113),"",OFFSET('Smelter Reference List'!$H$4,$S113-4,0))</f>
        <v>Takehara</v>
      </c>
      <c r="J113" s="294" t="str">
        <f ca="1">IF(ISERROR($S113),"",OFFSET('Smelter Reference List'!$I$4,$S113-4,0))</f>
        <v>Hiroshima</v>
      </c>
      <c r="K113" s="295"/>
      <c r="L113" s="295"/>
      <c r="M113" s="295"/>
      <c r="N113" s="295"/>
      <c r="O113" s="295"/>
      <c r="P113" s="295"/>
      <c r="Q113" s="296"/>
      <c r="R113" s="227"/>
      <c r="S113" s="228">
        <f ca="1">IF(C113="",NA(),MATCH($B113&amp;$C113,'Smelter Reference List'!$J:$J,0))</f>
        <v>131</v>
      </c>
      <c r="T113" s="229"/>
      <c r="U113" s="229">
        <f t="shared" ca="1" si="4"/>
        <v>0</v>
      </c>
      <c r="V113" s="229"/>
      <c r="W113" s="229"/>
      <c r="Y113" s="223" t="str">
        <f t="shared" ca="1" si="5"/>
        <v>GoldMitsui Mining and Smelting Co., Ltd.</v>
      </c>
    </row>
    <row r="114" spans="1:25" s="223" customFormat="1" ht="20.25">
      <c r="A114" s="291" t="s">
        <v>1330</v>
      </c>
      <c r="B114" s="292" t="str">
        <f ca="1">IF(LEN(A114)=0,"",INDEX('Smelter Reference List'!$A:$A,MATCH($A114,'Smelter Reference List'!$E:$E,0)))</f>
        <v>Tantalum</v>
      </c>
      <c r="C114" s="298" t="str">
        <f ca="1">IF(LEN(A114)=0,"",INDEX('Smelter Reference List'!$C:$C,MATCH($A114,'Smelter Reference List'!$E:$E,0)))</f>
        <v>Molycorp Silmet A.S.</v>
      </c>
      <c r="D114" s="292" t="str">
        <f ca="1">IF(ISERROR($S114),"",OFFSET('Smelter Reference List'!$C$4,$S114-4,0)&amp;"")</f>
        <v>Molycorp Silmet A.S.</v>
      </c>
      <c r="E114" s="292" t="str">
        <f ca="1">IF(ISERROR($S114),"",OFFSET('Smelter Reference List'!$D$4,$S114-4,0)&amp;"")</f>
        <v>ESTONIA</v>
      </c>
      <c r="F114" s="292" t="str">
        <f ca="1">IF(ISERROR($S114),"",OFFSET('Smelter Reference List'!$E$4,$S114-4,0))</f>
        <v>CID001200</v>
      </c>
      <c r="G114" s="292" t="str">
        <f ca="1">IF(C114=$U$4,"Enter smelter details", IF(ISERROR($S114),"",OFFSET('Smelter Reference List'!$F$4,$S114-4,0)))</f>
        <v>CFSI</v>
      </c>
      <c r="H114" s="293">
        <f ca="1">IF(ISERROR($S114),"",OFFSET('Smelter Reference List'!$G$4,$S114-4,0))</f>
        <v>0</v>
      </c>
      <c r="I114" s="294" t="str">
        <f ca="1">IF(ISERROR($S114),"",OFFSET('Smelter Reference List'!$H$4,$S114-4,0))</f>
        <v>Sillamäe</v>
      </c>
      <c r="J114" s="294" t="str">
        <f ca="1">IF(ISERROR($S114),"",OFFSET('Smelter Reference List'!$I$4,$S114-4,0))</f>
        <v>Ida-Virumaa</v>
      </c>
      <c r="K114" s="295"/>
      <c r="L114" s="295"/>
      <c r="M114" s="295"/>
      <c r="N114" s="295"/>
      <c r="O114" s="295"/>
      <c r="P114" s="295"/>
      <c r="Q114" s="296"/>
      <c r="R114" s="227"/>
      <c r="S114" s="228">
        <f ca="1">IF(C114="",NA(),MATCH($B114&amp;$C114,'Smelter Reference List'!$J:$J,0))</f>
        <v>283</v>
      </c>
      <c r="T114" s="229"/>
      <c r="U114" s="229">
        <f t="shared" ca="1" si="4"/>
        <v>0</v>
      </c>
      <c r="V114" s="229"/>
      <c r="W114" s="229"/>
      <c r="Y114" s="223" t="str">
        <f t="shared" ca="1" si="5"/>
        <v>TantalumMolycorp Silmet A.S.</v>
      </c>
    </row>
    <row r="115" spans="1:25" s="223" customFormat="1" ht="20.25">
      <c r="A115" s="291" t="s">
        <v>1275</v>
      </c>
      <c r="B115" s="292" t="str">
        <f ca="1">IF(LEN(A115)=0,"",INDEX('Smelter Reference List'!$A:$A,MATCH($A115,'Smelter Reference List'!$E:$E,0)))</f>
        <v>Gold</v>
      </c>
      <c r="C115" s="298" t="str">
        <f ca="1">IF(LEN(A115)=0,"",INDEX('Smelter Reference List'!$C:$C,MATCH($A115,'Smelter Reference List'!$E:$E,0)))</f>
        <v>Moscow Special Alloys Processing Plant</v>
      </c>
      <c r="D115" s="292" t="str">
        <f ca="1">IF(ISERROR($S115),"",OFFSET('Smelter Reference List'!$C$4,$S115-4,0)&amp;"")</f>
        <v>Moscow Special Alloys Processing Plant</v>
      </c>
      <c r="E115" s="292" t="str">
        <f ca="1">IF(ISERROR($S115),"",OFFSET('Smelter Reference List'!$D$4,$S115-4,0)&amp;"")</f>
        <v>RUSSIAN FEDERATION</v>
      </c>
      <c r="F115" s="292" t="str">
        <f ca="1">IF(ISERROR($S115),"",OFFSET('Smelter Reference List'!$E$4,$S115-4,0))</f>
        <v>CID001204</v>
      </c>
      <c r="G115" s="292" t="str">
        <f ca="1">IF(C115=$U$4,"Enter smelter details", IF(ISERROR($S115),"",OFFSET('Smelter Reference List'!$F$4,$S115-4,0)))</f>
        <v>CFSI</v>
      </c>
      <c r="H115" s="293">
        <f ca="1">IF(ISERROR($S115),"",OFFSET('Smelter Reference List'!$G$4,$S115-4,0))</f>
        <v>0</v>
      </c>
      <c r="I115" s="294" t="str">
        <f ca="1">IF(ISERROR($S115),"",OFFSET('Smelter Reference List'!$H$4,$S115-4,0))</f>
        <v>Obrucheva</v>
      </c>
      <c r="J115" s="294" t="str">
        <f ca="1">IF(ISERROR($S115),"",OFFSET('Smelter Reference List'!$I$4,$S115-4,0))</f>
        <v>Moscow Region</v>
      </c>
      <c r="K115" s="295"/>
      <c r="L115" s="295"/>
      <c r="M115" s="295"/>
      <c r="N115" s="295"/>
      <c r="O115" s="295"/>
      <c r="P115" s="295"/>
      <c r="Q115" s="296"/>
      <c r="R115" s="227"/>
      <c r="S115" s="228">
        <f ca="1">IF(C115="",NA(),MATCH($B115&amp;$C115,'Smelter Reference List'!$J:$J,0))</f>
        <v>136</v>
      </c>
      <c r="T115" s="229"/>
      <c r="U115" s="229">
        <f t="shared" ca="1" si="4"/>
        <v>0</v>
      </c>
      <c r="V115" s="229"/>
      <c r="W115" s="229"/>
      <c r="Y115" s="223" t="str">
        <f t="shared" ca="1" si="5"/>
        <v>GoldMoscow Special Alloys Processing Plant</v>
      </c>
    </row>
    <row r="116" spans="1:25" s="223" customFormat="1" ht="20.25">
      <c r="A116" s="291" t="s">
        <v>1276</v>
      </c>
      <c r="B116" s="292" t="str">
        <f ca="1">IF(LEN(A116)=0,"",INDEX('Smelter Reference List'!$A:$A,MATCH($A116,'Smelter Reference List'!$E:$E,0)))</f>
        <v>Gold</v>
      </c>
      <c r="C116" s="298" t="str">
        <f ca="1">IF(LEN(A116)=0,"",INDEX('Smelter Reference List'!$C:$C,MATCH($A116,'Smelter Reference List'!$E:$E,0)))</f>
        <v>Nadir Metal Rafineri San. Ve Tic. A.Ş.</v>
      </c>
      <c r="D116" s="292" t="str">
        <f ca="1">IF(ISERROR($S116),"",OFFSET('Smelter Reference List'!$C$4,$S116-4,0)&amp;"")</f>
        <v>Nadir Metal Rafineri San. Ve Tic. A.Ş.</v>
      </c>
      <c r="E116" s="292" t="str">
        <f ca="1">IF(ISERROR($S116),"",OFFSET('Smelter Reference List'!$D$4,$S116-4,0)&amp;"")</f>
        <v>TURKEY</v>
      </c>
      <c r="F116" s="292" t="str">
        <f ca="1">IF(ISERROR($S116),"",OFFSET('Smelter Reference List'!$E$4,$S116-4,0))</f>
        <v>CID001220</v>
      </c>
      <c r="G116" s="292" t="str">
        <f ca="1">IF(C116=$U$4,"Enter smelter details", IF(ISERROR($S116),"",OFFSET('Smelter Reference List'!$F$4,$S116-4,0)))</f>
        <v>CFSI</v>
      </c>
      <c r="H116" s="293">
        <f ca="1">IF(ISERROR($S116),"",OFFSET('Smelter Reference List'!$G$4,$S116-4,0))</f>
        <v>0</v>
      </c>
      <c r="I116" s="294" t="str">
        <f ca="1">IF(ISERROR($S116),"",OFFSET('Smelter Reference List'!$H$4,$S116-4,0))</f>
        <v>Bahçelievler</v>
      </c>
      <c r="J116" s="294" t="str">
        <f ca="1">IF(ISERROR($S116),"",OFFSET('Smelter Reference List'!$I$4,$S116-4,0))</f>
        <v>Istanbul</v>
      </c>
      <c r="K116" s="295"/>
      <c r="L116" s="295"/>
      <c r="M116" s="295"/>
      <c r="N116" s="295"/>
      <c r="O116" s="295"/>
      <c r="P116" s="295"/>
      <c r="Q116" s="296"/>
      <c r="R116" s="227"/>
      <c r="S116" s="228">
        <f ca="1">IF(C116="",NA(),MATCH($B116&amp;$C116,'Smelter Reference List'!$J:$J,0))</f>
        <v>137</v>
      </c>
      <c r="T116" s="229"/>
      <c r="U116" s="229">
        <f t="shared" ca="1" si="4"/>
        <v>0</v>
      </c>
      <c r="V116" s="229"/>
      <c r="W116" s="229"/>
      <c r="Y116" s="223" t="str">
        <f t="shared" ca="1" si="5"/>
        <v>GoldNadir Metal Rafineri San. Ve Tic. A.Ş.</v>
      </c>
    </row>
    <row r="117" spans="1:25" s="223" customFormat="1" ht="20.25">
      <c r="A117" s="291" t="s">
        <v>3415</v>
      </c>
      <c r="B117" s="292" t="str">
        <f ca="1">IF(LEN(A117)=0,"",INDEX('Smelter Reference List'!$A:$A,MATCH($A117,'Smelter Reference List'!$E:$E,0)))</f>
        <v>Tin</v>
      </c>
      <c r="C117" s="298" t="str">
        <f ca="1">IF(LEN(A117)=0,"",INDEX('Smelter Reference List'!$C:$C,MATCH($A117,'Smelter Reference List'!$E:$E,0)))</f>
        <v>Nankang Nanshan Tin Manufactory Co., Ltd.</v>
      </c>
      <c r="D117" s="292" t="str">
        <f ca="1">IF(ISERROR($S117),"",OFFSET('Smelter Reference List'!$C$4,$S117-4,0)&amp;"")</f>
        <v>Nankang Nanshan Tin Manufactory Co., Ltd.</v>
      </c>
      <c r="E117" s="292" t="str">
        <f ca="1">IF(ISERROR($S117),"",OFFSET('Smelter Reference List'!$D$4,$S117-4,0)&amp;"")</f>
        <v>CHINA</v>
      </c>
      <c r="F117" s="292" t="str">
        <f ca="1">IF(ISERROR($S117),"",OFFSET('Smelter Reference List'!$E$4,$S117-4,0))</f>
        <v>CID001231</v>
      </c>
      <c r="G117" s="292" t="str">
        <f ca="1">IF(C117=$U$4,"Enter smelter details", IF(ISERROR($S117),"",OFFSET('Smelter Reference List'!$F$4,$S117-4,0)))</f>
        <v>CFSI</v>
      </c>
      <c r="H117" s="293">
        <f ca="1">IF(ISERROR($S117),"",OFFSET('Smelter Reference List'!$G$4,$S117-4,0))</f>
        <v>0</v>
      </c>
      <c r="I117" s="294" t="str">
        <f ca="1">IF(ISERROR($S117),"",OFFSET('Smelter Reference List'!$H$4,$S117-4,0))</f>
        <v>Ganzhou</v>
      </c>
      <c r="J117" s="294" t="str">
        <f ca="1">IF(ISERROR($S117),"",OFFSET('Smelter Reference List'!$I$4,$S117-4,0))</f>
        <v>Jiangxi</v>
      </c>
      <c r="K117" s="295"/>
      <c r="L117" s="295"/>
      <c r="M117" s="295"/>
      <c r="N117" s="295"/>
      <c r="O117" s="295"/>
      <c r="P117" s="295"/>
      <c r="Q117" s="296"/>
      <c r="R117" s="227"/>
      <c r="S117" s="228">
        <f ca="1">IF(C117="",NA(),MATCH($B117&amp;$C117,'Smelter Reference List'!$J:$J,0))</f>
        <v>391</v>
      </c>
      <c r="T117" s="229"/>
      <c r="U117" s="229">
        <f t="shared" ca="1" si="4"/>
        <v>0</v>
      </c>
      <c r="V117" s="229"/>
      <c r="W117" s="229"/>
      <c r="Y117" s="223" t="str">
        <f t="shared" ca="1" si="5"/>
        <v>TinNankang Nanshan Tin Manufactory Co., Ltd.</v>
      </c>
    </row>
    <row r="118" spans="1:25" s="223" customFormat="1" ht="20.25">
      <c r="A118" s="291" t="s">
        <v>1277</v>
      </c>
      <c r="B118" s="292" t="str">
        <f ca="1">IF(LEN(A118)=0,"",INDEX('Smelter Reference List'!$A:$A,MATCH($A118,'Smelter Reference List'!$E:$E,0)))</f>
        <v>Gold</v>
      </c>
      <c r="C118" s="298" t="str">
        <f ca="1">IF(LEN(A118)=0,"",INDEX('Smelter Reference List'!$C:$C,MATCH($A118,'Smelter Reference List'!$E:$E,0)))</f>
        <v>Navoi Mining and Metallurgical Combinat</v>
      </c>
      <c r="D118" s="292" t="str">
        <f ca="1">IF(ISERROR($S118),"",OFFSET('Smelter Reference List'!$C$4,$S118-4,0)&amp;"")</f>
        <v>Navoi Mining and Metallurgical Combinat</v>
      </c>
      <c r="E118" s="292" t="str">
        <f ca="1">IF(ISERROR($S118),"",OFFSET('Smelter Reference List'!$D$4,$S118-4,0)&amp;"")</f>
        <v>UZBEKISTAN</v>
      </c>
      <c r="F118" s="292" t="str">
        <f ca="1">IF(ISERROR($S118),"",OFFSET('Smelter Reference List'!$E$4,$S118-4,0))</f>
        <v>CID001236</v>
      </c>
      <c r="G118" s="292" t="str">
        <f ca="1">IF(C118=$U$4,"Enter smelter details", IF(ISERROR($S118),"",OFFSET('Smelter Reference List'!$F$4,$S118-4,0)))</f>
        <v>CFSI</v>
      </c>
      <c r="H118" s="293">
        <f ca="1">IF(ISERROR($S118),"",OFFSET('Smelter Reference List'!$G$4,$S118-4,0))</f>
        <v>0</v>
      </c>
      <c r="I118" s="294" t="str">
        <f ca="1">IF(ISERROR($S118),"",OFFSET('Smelter Reference List'!$H$4,$S118-4,0))</f>
        <v>Navoi</v>
      </c>
      <c r="J118" s="294" t="str">
        <f ca="1">IF(ISERROR($S118),"",OFFSET('Smelter Reference List'!$I$4,$S118-4,0))</f>
        <v>Navoi Province</v>
      </c>
      <c r="K118" s="295"/>
      <c r="L118" s="295"/>
      <c r="M118" s="295"/>
      <c r="N118" s="295"/>
      <c r="O118" s="295"/>
      <c r="P118" s="295"/>
      <c r="Q118" s="296"/>
      <c r="R118" s="227"/>
      <c r="S118" s="228">
        <f ca="1">IF(C118="",NA(),MATCH($B118&amp;$C118,'Smelter Reference List'!$J:$J,0))</f>
        <v>138</v>
      </c>
      <c r="T118" s="229"/>
      <c r="U118" s="229">
        <f t="shared" ca="1" si="4"/>
        <v>0</v>
      </c>
      <c r="V118" s="229"/>
      <c r="W118" s="229"/>
      <c r="Y118" s="223" t="str">
        <f t="shared" ca="1" si="5"/>
        <v>GoldNavoi Mining and Metallurgical Combinat</v>
      </c>
    </row>
    <row r="119" spans="1:25" s="223" customFormat="1" ht="20.25">
      <c r="A119" s="291" t="s">
        <v>1278</v>
      </c>
      <c r="B119" s="292" t="str">
        <f ca="1">IF(LEN(A119)=0,"",INDEX('Smelter Reference List'!$A:$A,MATCH($A119,'Smelter Reference List'!$E:$E,0)))</f>
        <v>Gold</v>
      </c>
      <c r="C119" s="298" t="str">
        <f ca="1">IF(LEN(A119)=0,"",INDEX('Smelter Reference List'!$C:$C,MATCH($A119,'Smelter Reference List'!$E:$E,0)))</f>
        <v>Nihon Material Co., Ltd.</v>
      </c>
      <c r="D119" s="292" t="str">
        <f ca="1">IF(ISERROR($S119),"",OFFSET('Smelter Reference List'!$C$4,$S119-4,0)&amp;"")</f>
        <v>Nihon Material Co., Ltd.</v>
      </c>
      <c r="E119" s="292" t="str">
        <f ca="1">IF(ISERROR($S119),"",OFFSET('Smelter Reference List'!$D$4,$S119-4,0)&amp;"")</f>
        <v>JAPAN</v>
      </c>
      <c r="F119" s="292" t="str">
        <f ca="1">IF(ISERROR($S119),"",OFFSET('Smelter Reference List'!$E$4,$S119-4,0))</f>
        <v>CID001259</v>
      </c>
      <c r="G119" s="292" t="str">
        <f ca="1">IF(C119=$U$4,"Enter smelter details", IF(ISERROR($S119),"",OFFSET('Smelter Reference List'!$F$4,$S119-4,0)))</f>
        <v>CFSI</v>
      </c>
      <c r="H119" s="293">
        <f ca="1">IF(ISERROR($S119),"",OFFSET('Smelter Reference List'!$G$4,$S119-4,0))</f>
        <v>0</v>
      </c>
      <c r="I119" s="294" t="str">
        <f ca="1">IF(ISERROR($S119),"",OFFSET('Smelter Reference List'!$H$4,$S119-4,0))</f>
        <v>Noda</v>
      </c>
      <c r="J119" s="294" t="str">
        <f ca="1">IF(ISERROR($S119),"",OFFSET('Smelter Reference List'!$I$4,$S119-4,0))</f>
        <v>Chiba</v>
      </c>
      <c r="K119" s="295"/>
      <c r="L119" s="295"/>
      <c r="M119" s="295"/>
      <c r="N119" s="295"/>
      <c r="O119" s="295"/>
      <c r="P119" s="295"/>
      <c r="Q119" s="296"/>
      <c r="R119" s="227"/>
      <c r="S119" s="228">
        <f ca="1">IF(C119="",NA(),MATCH($B119&amp;$C119,'Smelter Reference List'!$J:$J,0))</f>
        <v>139</v>
      </c>
      <c r="T119" s="229"/>
      <c r="U119" s="229">
        <f t="shared" ca="1" si="4"/>
        <v>0</v>
      </c>
      <c r="V119" s="229"/>
      <c r="W119" s="229"/>
      <c r="Y119" s="223" t="str">
        <f t="shared" ca="1" si="5"/>
        <v>GoldNihon Material Co., Ltd.</v>
      </c>
    </row>
    <row r="120" spans="1:25" s="223" customFormat="1" ht="20.25">
      <c r="A120" s="291" t="s">
        <v>1331</v>
      </c>
      <c r="B120" s="292" t="str">
        <f ca="1">IF(LEN(A120)=0,"",INDEX('Smelter Reference List'!$A:$A,MATCH($A120,'Smelter Reference List'!$E:$E,0)))</f>
        <v>Tantalum</v>
      </c>
      <c r="C120" s="298" t="str">
        <f ca="1">IF(LEN(A120)=0,"",INDEX('Smelter Reference List'!$C:$C,MATCH($A120,'Smelter Reference List'!$E:$E,0)))</f>
        <v>Ningxia Orient Tantalum Industry Co., Ltd.</v>
      </c>
      <c r="D120" s="292" t="str">
        <f ca="1">IF(ISERROR($S120),"",OFFSET('Smelter Reference List'!$C$4,$S120-4,0)&amp;"")</f>
        <v>Ningxia Orient Tantalum Industry Co., Ltd.</v>
      </c>
      <c r="E120" s="292" t="str">
        <f ca="1">IF(ISERROR($S120),"",OFFSET('Smelter Reference List'!$D$4,$S120-4,0)&amp;"")</f>
        <v>CHINA</v>
      </c>
      <c r="F120" s="292" t="str">
        <f ca="1">IF(ISERROR($S120),"",OFFSET('Smelter Reference List'!$E$4,$S120-4,0))</f>
        <v>CID001277</v>
      </c>
      <c r="G120" s="292" t="str">
        <f ca="1">IF(C120=$U$4,"Enter smelter details", IF(ISERROR($S120),"",OFFSET('Smelter Reference List'!$F$4,$S120-4,0)))</f>
        <v>CFSI</v>
      </c>
      <c r="H120" s="293">
        <f ca="1">IF(ISERROR($S120),"",OFFSET('Smelter Reference List'!$G$4,$S120-4,0))</f>
        <v>0</v>
      </c>
      <c r="I120" s="294" t="str">
        <f ca="1">IF(ISERROR($S120),"",OFFSET('Smelter Reference List'!$H$4,$S120-4,0))</f>
        <v>Shizuishan City</v>
      </c>
      <c r="J120" s="294" t="str">
        <f ca="1">IF(ISERROR($S120),"",OFFSET('Smelter Reference List'!$I$4,$S120-4,0))</f>
        <v>Ningxia</v>
      </c>
      <c r="K120" s="295"/>
      <c r="L120" s="295"/>
      <c r="M120" s="295"/>
      <c r="N120" s="295"/>
      <c r="O120" s="295"/>
      <c r="P120" s="295"/>
      <c r="Q120" s="296"/>
      <c r="R120" s="227"/>
      <c r="S120" s="228">
        <f ca="1">IF(C120="",NA(),MATCH($B120&amp;$C120,'Smelter Reference List'!$J:$J,0))</f>
        <v>284</v>
      </c>
      <c r="T120" s="229"/>
      <c r="U120" s="229">
        <f t="shared" ca="1" si="4"/>
        <v>0</v>
      </c>
      <c r="V120" s="229"/>
      <c r="W120" s="229"/>
      <c r="Y120" s="223" t="str">
        <f t="shared" ca="1" si="5"/>
        <v>TantalumNingxia Orient Tantalum Industry Co., Ltd.</v>
      </c>
    </row>
    <row r="121" spans="1:25" s="223" customFormat="1" ht="20.25">
      <c r="A121" s="291" t="s">
        <v>1359</v>
      </c>
      <c r="B121" s="292" t="str">
        <f ca="1">IF(LEN(A121)=0,"",INDEX('Smelter Reference List'!$A:$A,MATCH($A121,'Smelter Reference List'!$E:$E,0)))</f>
        <v>Tin</v>
      </c>
      <c r="C121" s="298" t="str">
        <f ca="1">IF(LEN(A121)=0,"",INDEX('Smelter Reference List'!$C:$C,MATCH($A121,'Smelter Reference List'!$E:$E,0)))</f>
        <v>O.M. Manufacturing (Thailand) Co., Ltd.</v>
      </c>
      <c r="D121" s="292" t="str">
        <f ca="1">IF(ISERROR($S121),"",OFFSET('Smelter Reference List'!$C$4,$S121-4,0)&amp;"")</f>
        <v>O.M. Manufacturing (Thailand) Co., Ltd.</v>
      </c>
      <c r="E121" s="292" t="str">
        <f ca="1">IF(ISERROR($S121),"",OFFSET('Smelter Reference List'!$D$4,$S121-4,0)&amp;"")</f>
        <v>THAILAND</v>
      </c>
      <c r="F121" s="292" t="str">
        <f ca="1">IF(ISERROR($S121),"",OFFSET('Smelter Reference List'!$E$4,$S121-4,0))</f>
        <v>CID001314</v>
      </c>
      <c r="G121" s="292" t="str">
        <f ca="1">IF(C121=$U$4,"Enter smelter details", IF(ISERROR($S121),"",OFFSET('Smelter Reference List'!$F$4,$S121-4,0)))</f>
        <v>CFSI</v>
      </c>
      <c r="H121" s="293">
        <f ca="1">IF(ISERROR($S121),"",OFFSET('Smelter Reference List'!$G$4,$S121-4,0))</f>
        <v>0</v>
      </c>
      <c r="I121" s="294" t="str">
        <f ca="1">IF(ISERROR($S121),"",OFFSET('Smelter Reference List'!$H$4,$S121-4,0))</f>
        <v>Nongkham Sriracha</v>
      </c>
      <c r="J121" s="294" t="str">
        <f ca="1">IF(ISERROR($S121),"",OFFSET('Smelter Reference List'!$I$4,$S121-4,0))</f>
        <v>Chonburi</v>
      </c>
      <c r="K121" s="295"/>
      <c r="L121" s="295"/>
      <c r="M121" s="295"/>
      <c r="N121" s="295"/>
      <c r="O121" s="295"/>
      <c r="P121" s="295"/>
      <c r="Q121" s="296"/>
      <c r="R121" s="227"/>
      <c r="S121" s="228">
        <f ca="1">IF(C121="",NA(),MATCH($B121&amp;$C121,'Smelter Reference List'!$J:$J,0))</f>
        <v>394</v>
      </c>
      <c r="T121" s="229"/>
      <c r="U121" s="229">
        <f t="shared" ca="1" si="4"/>
        <v>0</v>
      </c>
      <c r="V121" s="229"/>
      <c r="W121" s="229"/>
      <c r="Y121" s="223" t="str">
        <f t="shared" ca="1" si="5"/>
        <v>TinO.M. Manufacturing (Thailand) Co., Ltd.</v>
      </c>
    </row>
    <row r="122" spans="1:25" s="223" customFormat="1" ht="20.25">
      <c r="A122" s="291" t="s">
        <v>1279</v>
      </c>
      <c r="B122" s="292" t="str">
        <f ca="1">IF(LEN(A122)=0,"",INDEX('Smelter Reference List'!$A:$A,MATCH($A122,'Smelter Reference List'!$E:$E,0)))</f>
        <v>Gold</v>
      </c>
      <c r="C122" s="298" t="str">
        <f ca="1">IF(LEN(A122)=0,"",INDEX('Smelter Reference List'!$C:$C,MATCH($A122,'Smelter Reference List'!$E:$E,0)))</f>
        <v>Elemetal Refining, LLC</v>
      </c>
      <c r="D122" s="292" t="str">
        <f ca="1">IF(ISERROR($S122),"",OFFSET('Smelter Reference List'!$C$4,$S122-4,0)&amp;"")</f>
        <v>Elemetal Refining, LLC</v>
      </c>
      <c r="E122" s="292" t="str">
        <f ca="1">IF(ISERROR($S122),"",OFFSET('Smelter Reference List'!$D$4,$S122-4,0)&amp;"")</f>
        <v>UNITED STATES OF AMERICA</v>
      </c>
      <c r="F122" s="292" t="str">
        <f ca="1">IF(ISERROR($S122),"",OFFSET('Smelter Reference List'!$E$4,$S122-4,0))</f>
        <v>CID001322</v>
      </c>
      <c r="G122" s="292" t="str">
        <f ca="1">IF(C122=$U$4,"Enter smelter details", IF(ISERROR($S122),"",OFFSET('Smelter Reference List'!$F$4,$S122-4,0)))</f>
        <v>CFSI</v>
      </c>
      <c r="H122" s="293">
        <f ca="1">IF(ISERROR($S122),"",OFFSET('Smelter Reference List'!$G$4,$S122-4,0))</f>
        <v>0</v>
      </c>
      <c r="I122" s="294" t="str">
        <f ca="1">IF(ISERROR($S122),"",OFFSET('Smelter Reference List'!$H$4,$S122-4,0))</f>
        <v>Jackson</v>
      </c>
      <c r="J122" s="294" t="str">
        <f ca="1">IF(ISERROR($S122),"",OFFSET('Smelter Reference List'!$I$4,$S122-4,0))</f>
        <v>Ohio</v>
      </c>
      <c r="K122" s="295"/>
      <c r="L122" s="295"/>
      <c r="M122" s="295"/>
      <c r="N122" s="295"/>
      <c r="O122" s="295"/>
      <c r="P122" s="295"/>
      <c r="Q122" s="296"/>
      <c r="R122" s="227"/>
      <c r="S122" s="228">
        <f ca="1">IF(C122="",NA(),MATCH($B122&amp;$C122,'Smelter Reference List'!$J:$J,0))</f>
        <v>57</v>
      </c>
      <c r="T122" s="229"/>
      <c r="U122" s="229">
        <f t="shared" ca="1" si="4"/>
        <v>0</v>
      </c>
      <c r="V122" s="229"/>
      <c r="W122" s="229"/>
      <c r="Y122" s="223" t="str">
        <f t="shared" ca="1" si="5"/>
        <v>GoldElemetal Refining, LLC</v>
      </c>
    </row>
    <row r="123" spans="1:25" s="223" customFormat="1" ht="20.25">
      <c r="A123" s="291" t="s">
        <v>1280</v>
      </c>
      <c r="B123" s="292" t="str">
        <f ca="1">IF(LEN(A123)=0,"",INDEX('Smelter Reference List'!$A:$A,MATCH($A123,'Smelter Reference List'!$E:$E,0)))</f>
        <v>Gold</v>
      </c>
      <c r="C123" s="298" t="str">
        <f ca="1">IF(LEN(A123)=0,"",INDEX('Smelter Reference List'!$C:$C,MATCH($A123,'Smelter Reference List'!$E:$E,0)))</f>
        <v>Ohura Precious Metal Industry Co., Ltd.</v>
      </c>
      <c r="D123" s="292" t="str">
        <f ca="1">IF(ISERROR($S123),"",OFFSET('Smelter Reference List'!$C$4,$S123-4,0)&amp;"")</f>
        <v>Ohura Precious Metal Industry Co., Ltd.</v>
      </c>
      <c r="E123" s="292" t="str">
        <f ca="1">IF(ISERROR($S123),"",OFFSET('Smelter Reference List'!$D$4,$S123-4,0)&amp;"")</f>
        <v>JAPAN</v>
      </c>
      <c r="F123" s="292" t="str">
        <f ca="1">IF(ISERROR($S123),"",OFFSET('Smelter Reference List'!$E$4,$S123-4,0))</f>
        <v>CID001325</v>
      </c>
      <c r="G123" s="292" t="str">
        <f ca="1">IF(C123=$U$4,"Enter smelter details", IF(ISERROR($S123),"",OFFSET('Smelter Reference List'!$F$4,$S123-4,0)))</f>
        <v>CFSI</v>
      </c>
      <c r="H123" s="293">
        <f ca="1">IF(ISERROR($S123),"",OFFSET('Smelter Reference List'!$G$4,$S123-4,0))</f>
        <v>0</v>
      </c>
      <c r="I123" s="294" t="str">
        <f ca="1">IF(ISERROR($S123),"",OFFSET('Smelter Reference List'!$H$4,$S123-4,0))</f>
        <v>Nara-shi</v>
      </c>
      <c r="J123" s="294" t="str">
        <f ca="1">IF(ISERROR($S123),"",OFFSET('Smelter Reference List'!$I$4,$S123-4,0))</f>
        <v>Nara</v>
      </c>
      <c r="K123" s="295"/>
      <c r="L123" s="295"/>
      <c r="M123" s="295"/>
      <c r="N123" s="295"/>
      <c r="O123" s="295"/>
      <c r="P123" s="295"/>
      <c r="Q123" s="296"/>
      <c r="R123" s="227"/>
      <c r="S123" s="228">
        <f ca="1">IF(C123="",NA(),MATCH($B123&amp;$C123,'Smelter Reference List'!$J:$J,0))</f>
        <v>143</v>
      </c>
      <c r="T123" s="229"/>
      <c r="U123" s="229">
        <f t="shared" ca="1" si="4"/>
        <v>0</v>
      </c>
      <c r="V123" s="229"/>
      <c r="W123" s="229"/>
      <c r="Y123" s="223" t="str">
        <f t="shared" ca="1" si="5"/>
        <v>GoldOhura Precious Metal Industry Co., Ltd.</v>
      </c>
    </row>
    <row r="124" spans="1:25" s="223" customFormat="1" ht="20.25">
      <c r="A124" s="291" t="s">
        <v>1281</v>
      </c>
      <c r="B124" s="292" t="str">
        <f ca="1">IF(LEN(A124)=0,"",INDEX('Smelter Reference List'!$A:$A,MATCH($A124,'Smelter Reference List'!$E:$E,0)))</f>
        <v>Gold</v>
      </c>
      <c r="C124" s="298" t="str">
        <f ca="1">IF(LEN(A124)=0,"",INDEX('Smelter Reference List'!$C:$C,MATCH($A124,'Smelter Reference List'!$E:$E,0)))</f>
        <v>OJSC "The Gulidov Krasnoyarsk Non-Ferrous Metals Plant" (OJSC Krastsvetmet)</v>
      </c>
      <c r="D124" s="292" t="str">
        <f ca="1">IF(ISERROR($S124),"",OFFSET('Smelter Reference List'!$C$4,$S124-4,0)&amp;"")</f>
        <v>OJSC "The Gulidov Krasnoyarsk Non-Ferrous Metals Plant" (OJSC Krastsvetmet)</v>
      </c>
      <c r="E124" s="292" t="str">
        <f ca="1">IF(ISERROR($S124),"",OFFSET('Smelter Reference List'!$D$4,$S124-4,0)&amp;"")</f>
        <v>RUSSIAN FEDERATION</v>
      </c>
      <c r="F124" s="292" t="str">
        <f ca="1">IF(ISERROR($S124),"",OFFSET('Smelter Reference List'!$E$4,$S124-4,0))</f>
        <v>CID001326</v>
      </c>
      <c r="G124" s="292" t="str">
        <f ca="1">IF(C124=$U$4,"Enter smelter details", IF(ISERROR($S124),"",OFFSET('Smelter Reference List'!$F$4,$S124-4,0)))</f>
        <v>CFSI</v>
      </c>
      <c r="H124" s="293">
        <f ca="1">IF(ISERROR($S124),"",OFFSET('Smelter Reference List'!$G$4,$S124-4,0))</f>
        <v>0</v>
      </c>
      <c r="I124" s="294" t="str">
        <f ca="1">IF(ISERROR($S124),"",OFFSET('Smelter Reference List'!$H$4,$S124-4,0))</f>
        <v>Krasnoyarsk</v>
      </c>
      <c r="J124" s="294" t="str">
        <f ca="1">IF(ISERROR($S124),"",OFFSET('Smelter Reference List'!$I$4,$S124-4,0))</f>
        <v>Krasnoyarsk Krai</v>
      </c>
      <c r="K124" s="295"/>
      <c r="L124" s="295"/>
      <c r="M124" s="295"/>
      <c r="N124" s="295"/>
      <c r="O124" s="295"/>
      <c r="P124" s="295"/>
      <c r="Q124" s="296"/>
      <c r="R124" s="227"/>
      <c r="S124" s="228">
        <f ca="1">IF(C124="",NA(),MATCH($B124&amp;$C124,'Smelter Reference List'!$J:$J,0))</f>
        <v>144</v>
      </c>
      <c r="T124" s="229"/>
      <c r="U124" s="229">
        <f t="shared" ca="1" si="4"/>
        <v>0</v>
      </c>
      <c r="V124" s="229"/>
      <c r="W124" s="229"/>
      <c r="Y124" s="223" t="str">
        <f t="shared" ca="1" si="5"/>
        <v>GoldOJSC "The Gulidov Krasnoyarsk Non-Ferrous Metals Plant" (OJSC Krastsvetmet)</v>
      </c>
    </row>
    <row r="125" spans="1:25" s="223" customFormat="1" ht="20.25">
      <c r="A125" s="291" t="s">
        <v>1360</v>
      </c>
      <c r="B125" s="292" t="str">
        <f ca="1">IF(LEN(A125)=0,"",INDEX('Smelter Reference List'!$A:$A,MATCH($A125,'Smelter Reference List'!$E:$E,0)))</f>
        <v>Tin</v>
      </c>
      <c r="C125" s="298" t="str">
        <f ca="1">IF(LEN(A125)=0,"",INDEX('Smelter Reference List'!$C:$C,MATCH($A125,'Smelter Reference List'!$E:$E,0)))</f>
        <v>Operaciones Metalurgical S.A.</v>
      </c>
      <c r="D125" s="292" t="str">
        <f ca="1">IF(ISERROR($S125),"",OFFSET('Smelter Reference List'!$C$4,$S125-4,0)&amp;"")</f>
        <v>Operaciones Metalurgical S.A.</v>
      </c>
      <c r="E125" s="292" t="str">
        <f ca="1">IF(ISERROR($S125),"",OFFSET('Smelter Reference List'!$D$4,$S125-4,0)&amp;"")</f>
        <v>BOLIVIA (PLURINATIONAL STATE OF)</v>
      </c>
      <c r="F125" s="292" t="str">
        <f ca="1">IF(ISERROR($S125),"",OFFSET('Smelter Reference List'!$E$4,$S125-4,0))</f>
        <v>CID001337</v>
      </c>
      <c r="G125" s="292" t="str">
        <f ca="1">IF(C125=$U$4,"Enter smelter details", IF(ISERROR($S125),"",OFFSET('Smelter Reference List'!$F$4,$S125-4,0)))</f>
        <v>CFSI</v>
      </c>
      <c r="H125" s="293">
        <f ca="1">IF(ISERROR($S125),"",OFFSET('Smelter Reference List'!$G$4,$S125-4,0))</f>
        <v>0</v>
      </c>
      <c r="I125" s="294" t="str">
        <f ca="1">IF(ISERROR($S125),"",OFFSET('Smelter Reference List'!$H$4,$S125-4,0))</f>
        <v>Oruro</v>
      </c>
      <c r="J125" s="294" t="str">
        <f ca="1">IF(ISERROR($S125),"",OFFSET('Smelter Reference List'!$I$4,$S125-4,0))</f>
        <v>Cercado</v>
      </c>
      <c r="K125" s="295"/>
      <c r="L125" s="295"/>
      <c r="M125" s="295"/>
      <c r="N125" s="295"/>
      <c r="O125" s="295"/>
      <c r="P125" s="295"/>
      <c r="Q125" s="296"/>
      <c r="R125" s="227"/>
      <c r="S125" s="228">
        <f ca="1">IF(C125="",NA(),MATCH($B125&amp;$C125,'Smelter Reference List'!$J:$J,0))</f>
        <v>397</v>
      </c>
      <c r="T125" s="229"/>
      <c r="U125" s="229">
        <f t="shared" ca="1" si="4"/>
        <v>0</v>
      </c>
      <c r="V125" s="229"/>
      <c r="W125" s="229"/>
      <c r="Y125" s="223" t="str">
        <f t="shared" ca="1" si="5"/>
        <v>TinOperaciones Metalurgical S.A.</v>
      </c>
    </row>
    <row r="126" spans="1:25" s="223" customFormat="1" ht="20.25">
      <c r="A126" s="291" t="s">
        <v>1282</v>
      </c>
      <c r="B126" s="292" t="str">
        <f ca="1">IF(LEN(A126)=0,"",INDEX('Smelter Reference List'!$A:$A,MATCH($A126,'Smelter Reference List'!$E:$E,0)))</f>
        <v>Gold</v>
      </c>
      <c r="C126" s="298" t="str">
        <f ca="1">IF(LEN(A126)=0,"",INDEX('Smelter Reference List'!$C:$C,MATCH($A126,'Smelter Reference List'!$E:$E,0)))</f>
        <v>PAMP S.A.</v>
      </c>
      <c r="D126" s="292" t="str">
        <f ca="1">IF(ISERROR($S126),"",OFFSET('Smelter Reference List'!$C$4,$S126-4,0)&amp;"")</f>
        <v>PAMP S.A.</v>
      </c>
      <c r="E126" s="292" t="str">
        <f ca="1">IF(ISERROR($S126),"",OFFSET('Smelter Reference List'!$D$4,$S126-4,0)&amp;"")</f>
        <v>SWITZERLAND</v>
      </c>
      <c r="F126" s="292" t="str">
        <f ca="1">IF(ISERROR($S126),"",OFFSET('Smelter Reference List'!$E$4,$S126-4,0))</f>
        <v>CID001352</v>
      </c>
      <c r="G126" s="292" t="str">
        <f ca="1">IF(C126=$U$4,"Enter smelter details", IF(ISERROR($S126),"",OFFSET('Smelter Reference List'!$F$4,$S126-4,0)))</f>
        <v>CFSI</v>
      </c>
      <c r="H126" s="293">
        <f ca="1">IF(ISERROR($S126),"",OFFSET('Smelter Reference List'!$G$4,$S126-4,0))</f>
        <v>0</v>
      </c>
      <c r="I126" s="294" t="str">
        <f ca="1">IF(ISERROR($S126),"",OFFSET('Smelter Reference List'!$H$4,$S126-4,0))</f>
        <v>Castel San Pietro</v>
      </c>
      <c r="J126" s="294" t="str">
        <f ca="1">IF(ISERROR($S126),"",OFFSET('Smelter Reference List'!$I$4,$S126-4,0))</f>
        <v>Ticino</v>
      </c>
      <c r="K126" s="295"/>
      <c r="L126" s="295"/>
      <c r="M126" s="295"/>
      <c r="N126" s="295"/>
      <c r="O126" s="295"/>
      <c r="P126" s="295"/>
      <c r="Q126" s="296"/>
      <c r="R126" s="227"/>
      <c r="S126" s="228">
        <f ca="1">IF(C126="",NA(),MATCH($B126&amp;$C126,'Smelter Reference List'!$J:$J,0))</f>
        <v>148</v>
      </c>
      <c r="T126" s="229"/>
      <c r="U126" s="229">
        <f t="shared" ca="1" si="4"/>
        <v>0</v>
      </c>
      <c r="V126" s="229"/>
      <c r="W126" s="229"/>
      <c r="Y126" s="223" t="str">
        <f t="shared" ca="1" si="5"/>
        <v>GoldPAMP S.A.</v>
      </c>
    </row>
    <row r="127" spans="1:25" s="223" customFormat="1" ht="20.25">
      <c r="A127" s="291" t="s">
        <v>1283</v>
      </c>
      <c r="B127" s="292" t="str">
        <f ca="1">IF(LEN(A127)=0,"",INDEX('Smelter Reference List'!$A:$A,MATCH($A127,'Smelter Reference List'!$E:$E,0)))</f>
        <v>Gold</v>
      </c>
      <c r="C127" s="298" t="str">
        <f ca="1">IF(LEN(A127)=0,"",INDEX('Smelter Reference List'!$C:$C,MATCH($A127,'Smelter Reference List'!$E:$E,0)))</f>
        <v>Penglai Penggang Gold Industry Co., Ltd.</v>
      </c>
      <c r="D127" s="292" t="str">
        <f ca="1">IF(ISERROR($S127),"",OFFSET('Smelter Reference List'!$C$4,$S127-4,0)&amp;"")</f>
        <v>Penglai Penggang Gold Industry Co., Ltd.</v>
      </c>
      <c r="E127" s="292" t="str">
        <f ca="1">IF(ISERROR($S127),"",OFFSET('Smelter Reference List'!$D$4,$S127-4,0)&amp;"")</f>
        <v>CHINA</v>
      </c>
      <c r="F127" s="292" t="str">
        <f ca="1">IF(ISERROR($S127),"",OFFSET('Smelter Reference List'!$E$4,$S127-4,0))</f>
        <v>CID001362</v>
      </c>
      <c r="G127" s="292" t="str">
        <f ca="1">IF(C127=$U$4,"Enter smelter details", IF(ISERROR($S127),"",OFFSET('Smelter Reference List'!$F$4,$S127-4,0)))</f>
        <v>CFSI</v>
      </c>
      <c r="H127" s="293">
        <f ca="1">IF(ISERROR($S127),"",OFFSET('Smelter Reference List'!$G$4,$S127-4,0))</f>
        <v>0</v>
      </c>
      <c r="I127" s="294" t="str">
        <f ca="1">IF(ISERROR($S127),"",OFFSET('Smelter Reference List'!$H$4,$S127-4,0))</f>
        <v>Penglai</v>
      </c>
      <c r="J127" s="294" t="str">
        <f ca="1">IF(ISERROR($S127),"",OFFSET('Smelter Reference List'!$I$4,$S127-4,0))</f>
        <v>Shandong</v>
      </c>
      <c r="K127" s="295"/>
      <c r="L127" s="295"/>
      <c r="M127" s="295"/>
      <c r="N127" s="295"/>
      <c r="O127" s="295"/>
      <c r="P127" s="295"/>
      <c r="Q127" s="296"/>
      <c r="R127" s="227"/>
      <c r="S127" s="228">
        <f ca="1">IF(C127="",NA(),MATCH($B127&amp;$C127,'Smelter Reference List'!$J:$J,0))</f>
        <v>151</v>
      </c>
      <c r="T127" s="229"/>
      <c r="U127" s="229">
        <f t="shared" ca="1" si="4"/>
        <v>0</v>
      </c>
      <c r="V127" s="229"/>
      <c r="W127" s="229"/>
      <c r="Y127" s="223" t="str">
        <f t="shared" ca="1" si="5"/>
        <v>GoldPenglai Penggang Gold Industry Co., Ltd.</v>
      </c>
    </row>
    <row r="128" spans="1:25" s="223" customFormat="1" ht="20.25">
      <c r="A128" s="291" t="s">
        <v>1284</v>
      </c>
      <c r="B128" s="292" t="str">
        <f ca="1">IF(LEN(A128)=0,"",INDEX('Smelter Reference List'!$A:$A,MATCH($A128,'Smelter Reference List'!$E:$E,0)))</f>
        <v>Gold</v>
      </c>
      <c r="C128" s="298" t="str">
        <f ca="1">IF(LEN(A128)=0,"",INDEX('Smelter Reference List'!$C:$C,MATCH($A128,'Smelter Reference List'!$E:$E,0)))</f>
        <v>Prioksky Plant of Non-Ferrous Metals</v>
      </c>
      <c r="D128" s="292" t="str">
        <f ca="1">IF(ISERROR($S128),"",OFFSET('Smelter Reference List'!$C$4,$S128-4,0)&amp;"")</f>
        <v>Prioksky Plant of Non-Ferrous Metals</v>
      </c>
      <c r="E128" s="292" t="str">
        <f ca="1">IF(ISERROR($S128),"",OFFSET('Smelter Reference List'!$D$4,$S128-4,0)&amp;"")</f>
        <v>RUSSIAN FEDERATION</v>
      </c>
      <c r="F128" s="292" t="str">
        <f ca="1">IF(ISERROR($S128),"",OFFSET('Smelter Reference List'!$E$4,$S128-4,0))</f>
        <v>CID001386</v>
      </c>
      <c r="G128" s="292" t="str">
        <f ca="1">IF(C128=$U$4,"Enter smelter details", IF(ISERROR($S128),"",OFFSET('Smelter Reference List'!$F$4,$S128-4,0)))</f>
        <v>CFSI</v>
      </c>
      <c r="H128" s="293">
        <f ca="1">IF(ISERROR($S128),"",OFFSET('Smelter Reference List'!$G$4,$S128-4,0))</f>
        <v>0</v>
      </c>
      <c r="I128" s="294" t="str">
        <f ca="1">IF(ISERROR($S128),"",OFFSET('Smelter Reference List'!$H$4,$S128-4,0))</f>
        <v>Kasimov</v>
      </c>
      <c r="J128" s="294" t="str">
        <f ca="1">IF(ISERROR($S128),"",OFFSET('Smelter Reference List'!$I$4,$S128-4,0))</f>
        <v>Ryazan</v>
      </c>
      <c r="K128" s="295"/>
      <c r="L128" s="295"/>
      <c r="M128" s="295"/>
      <c r="N128" s="295"/>
      <c r="O128" s="295"/>
      <c r="P128" s="295"/>
      <c r="Q128" s="296"/>
      <c r="R128" s="227"/>
      <c r="S128" s="228">
        <f ca="1">IF(C128="",NA(),MATCH($B128&amp;$C128,'Smelter Reference List'!$J:$J,0))</f>
        <v>154</v>
      </c>
      <c r="T128" s="229"/>
      <c r="U128" s="229">
        <f t="shared" ca="1" si="4"/>
        <v>0</v>
      </c>
      <c r="V128" s="229"/>
      <c r="W128" s="229"/>
      <c r="Y128" s="223" t="str">
        <f t="shared" ca="1" si="5"/>
        <v>GoldPrioksky Plant of Non-Ferrous Metals</v>
      </c>
    </row>
    <row r="129" spans="1:25" s="223" customFormat="1" ht="20.25">
      <c r="A129" s="291" t="s">
        <v>1285</v>
      </c>
      <c r="B129" s="292" t="str">
        <f ca="1">IF(LEN(A129)=0,"",INDEX('Smelter Reference List'!$A:$A,MATCH($A129,'Smelter Reference List'!$E:$E,0)))</f>
        <v>Gold</v>
      </c>
      <c r="C129" s="298" t="str">
        <f ca="1">IF(LEN(A129)=0,"",INDEX('Smelter Reference List'!$C:$C,MATCH($A129,'Smelter Reference List'!$E:$E,0)))</f>
        <v>PT Aneka Tambang (Persero) Tbk</v>
      </c>
      <c r="D129" s="292" t="str">
        <f ca="1">IF(ISERROR($S129),"",OFFSET('Smelter Reference List'!$C$4,$S129-4,0)&amp;"")</f>
        <v>PT Aneka Tambang (Persero) Tbk</v>
      </c>
      <c r="E129" s="292" t="str">
        <f ca="1">IF(ISERROR($S129),"",OFFSET('Smelter Reference List'!$D$4,$S129-4,0)&amp;"")</f>
        <v>INDONESIA</v>
      </c>
      <c r="F129" s="292" t="str">
        <f ca="1">IF(ISERROR($S129),"",OFFSET('Smelter Reference List'!$E$4,$S129-4,0))</f>
        <v>CID001397</v>
      </c>
      <c r="G129" s="292" t="str">
        <f ca="1">IF(C129=$U$4,"Enter smelter details", IF(ISERROR($S129),"",OFFSET('Smelter Reference List'!$F$4,$S129-4,0)))</f>
        <v>CFSI</v>
      </c>
      <c r="H129" s="293">
        <f ca="1">IF(ISERROR($S129),"",OFFSET('Smelter Reference List'!$G$4,$S129-4,0))</f>
        <v>0</v>
      </c>
      <c r="I129" s="294" t="str">
        <f ca="1">IF(ISERROR($S129),"",OFFSET('Smelter Reference List'!$H$4,$S129-4,0))</f>
        <v>Jakarta</v>
      </c>
      <c r="J129" s="294" t="str">
        <f ca="1">IF(ISERROR($S129),"",OFFSET('Smelter Reference List'!$I$4,$S129-4,0))</f>
        <v>Java</v>
      </c>
      <c r="K129" s="295"/>
      <c r="L129" s="295"/>
      <c r="M129" s="295"/>
      <c r="N129" s="295"/>
      <c r="O129" s="295"/>
      <c r="P129" s="295"/>
      <c r="Q129" s="296"/>
      <c r="R129" s="227"/>
      <c r="S129" s="228">
        <f ca="1">IF(C129="",NA(),MATCH($B129&amp;$C129,'Smelter Reference List'!$J:$J,0))</f>
        <v>156</v>
      </c>
      <c r="T129" s="229"/>
      <c r="U129" s="229">
        <f t="shared" ca="1" si="4"/>
        <v>0</v>
      </c>
      <c r="V129" s="229"/>
      <c r="W129" s="229"/>
      <c r="Y129" s="223" t="str">
        <f t="shared" ca="1" si="5"/>
        <v>GoldPT Aneka Tambang (Persero) Tbk</v>
      </c>
    </row>
    <row r="130" spans="1:25" s="223" customFormat="1" ht="20.25">
      <c r="A130" s="291" t="s">
        <v>1361</v>
      </c>
      <c r="B130" s="292" t="str">
        <f ca="1">IF(LEN(A130)=0,"",INDEX('Smelter Reference List'!$A:$A,MATCH($A130,'Smelter Reference List'!$E:$E,0)))</f>
        <v>Tin</v>
      </c>
      <c r="C130" s="298" t="str">
        <f ca="1">IF(LEN(A130)=0,"",INDEX('Smelter Reference List'!$C:$C,MATCH($A130,'Smelter Reference List'!$E:$E,0)))</f>
        <v>PT Artha Cipta Langgeng</v>
      </c>
      <c r="D130" s="292" t="str">
        <f ca="1">IF(ISERROR($S130),"",OFFSET('Smelter Reference List'!$C$4,$S130-4,0)&amp;"")</f>
        <v>PT Artha Cipta Langgeng</v>
      </c>
      <c r="E130" s="292" t="str">
        <f ca="1">IF(ISERROR($S130),"",OFFSET('Smelter Reference List'!$D$4,$S130-4,0)&amp;"")</f>
        <v>INDONESIA</v>
      </c>
      <c r="F130" s="292" t="str">
        <f ca="1">IF(ISERROR($S130),"",OFFSET('Smelter Reference List'!$E$4,$S130-4,0))</f>
        <v>CID001399</v>
      </c>
      <c r="G130" s="292" t="str">
        <f ca="1">IF(C130=$U$4,"Enter smelter details", IF(ISERROR($S130),"",OFFSET('Smelter Reference List'!$F$4,$S130-4,0)))</f>
        <v>CFSI</v>
      </c>
      <c r="H130" s="293">
        <f ca="1">IF(ISERROR($S130),"",OFFSET('Smelter Reference List'!$G$4,$S130-4,0))</f>
        <v>0</v>
      </c>
      <c r="I130" s="294" t="str">
        <f ca="1">IF(ISERROR($S130),"",OFFSET('Smelter Reference List'!$H$4,$S130-4,0))</f>
        <v>Sungailiat</v>
      </c>
      <c r="J130" s="294" t="str">
        <f ca="1">IF(ISERROR($S130),"",OFFSET('Smelter Reference List'!$I$4,$S130-4,0))</f>
        <v>Bangka</v>
      </c>
      <c r="K130" s="295"/>
      <c r="L130" s="295"/>
      <c r="M130" s="295"/>
      <c r="N130" s="295"/>
      <c r="O130" s="295"/>
      <c r="P130" s="295"/>
      <c r="Q130" s="296"/>
      <c r="R130" s="227"/>
      <c r="S130" s="228">
        <f ca="1">IF(C130="",NA(),MATCH($B130&amp;$C130,'Smelter Reference List'!$J:$J,0))</f>
        <v>401</v>
      </c>
      <c r="T130" s="229"/>
      <c r="U130" s="229">
        <f t="shared" ca="1" si="4"/>
        <v>0</v>
      </c>
      <c r="V130" s="229"/>
      <c r="W130" s="229"/>
      <c r="Y130" s="223" t="str">
        <f t="shared" ca="1" si="5"/>
        <v>TinPT Artha Cipta Langgeng</v>
      </c>
    </row>
    <row r="131" spans="1:25" s="223" customFormat="1" ht="20.25">
      <c r="A131" s="291" t="s">
        <v>1362</v>
      </c>
      <c r="B131" s="292" t="str">
        <f ca="1">IF(LEN(A131)=0,"",INDEX('Smelter Reference List'!$A:$A,MATCH($A131,'Smelter Reference List'!$E:$E,0)))</f>
        <v>Tin</v>
      </c>
      <c r="C131" s="298" t="str">
        <f ca="1">IF(LEN(A131)=0,"",INDEX('Smelter Reference List'!$C:$C,MATCH($A131,'Smelter Reference List'!$E:$E,0)))</f>
        <v>PT Babel Inti Perkasa</v>
      </c>
      <c r="D131" s="292" t="str">
        <f ca="1">IF(ISERROR($S131),"",OFFSET('Smelter Reference List'!$C$4,$S131-4,0)&amp;"")</f>
        <v>PT Babel Inti Perkasa</v>
      </c>
      <c r="E131" s="292" t="str">
        <f ca="1">IF(ISERROR($S131),"",OFFSET('Smelter Reference List'!$D$4,$S131-4,0)&amp;"")</f>
        <v>INDONESIA</v>
      </c>
      <c r="F131" s="292" t="str">
        <f ca="1">IF(ISERROR($S131),"",OFFSET('Smelter Reference List'!$E$4,$S131-4,0))</f>
        <v>CID001402</v>
      </c>
      <c r="G131" s="292" t="str">
        <f ca="1">IF(C131=$U$4,"Enter smelter details", IF(ISERROR($S131),"",OFFSET('Smelter Reference List'!$F$4,$S131-4,0)))</f>
        <v>CFSI</v>
      </c>
      <c r="H131" s="293">
        <f ca="1">IF(ISERROR($S131),"",OFFSET('Smelter Reference List'!$G$4,$S131-4,0))</f>
        <v>0</v>
      </c>
      <c r="I131" s="294" t="str">
        <f ca="1">IF(ISERROR($S131),"",OFFSET('Smelter Reference List'!$H$4,$S131-4,0))</f>
        <v>Lintang</v>
      </c>
      <c r="J131" s="294" t="str">
        <f ca="1">IF(ISERROR($S131),"",OFFSET('Smelter Reference List'!$I$4,$S131-4,0))</f>
        <v>Bangka</v>
      </c>
      <c r="K131" s="295"/>
      <c r="L131" s="295"/>
      <c r="M131" s="295"/>
      <c r="N131" s="295"/>
      <c r="O131" s="295"/>
      <c r="P131" s="295"/>
      <c r="Q131" s="296"/>
      <c r="R131" s="227"/>
      <c r="S131" s="228">
        <f ca="1">IF(C131="",NA(),MATCH($B131&amp;$C131,'Smelter Reference List'!$J:$J,0))</f>
        <v>403</v>
      </c>
      <c r="T131" s="229"/>
      <c r="U131" s="229">
        <f t="shared" ca="1" si="4"/>
        <v>0</v>
      </c>
      <c r="V131" s="229"/>
      <c r="W131" s="229"/>
      <c r="Y131" s="223" t="str">
        <f t="shared" ca="1" si="5"/>
        <v>TinPT Babel Inti Perkasa</v>
      </c>
    </row>
    <row r="132" spans="1:25" s="223" customFormat="1" ht="20.25">
      <c r="A132" s="291" t="s">
        <v>1363</v>
      </c>
      <c r="B132" s="292" t="str">
        <f ca="1">IF(LEN(A132)=0,"",INDEX('Smelter Reference List'!$A:$A,MATCH($A132,'Smelter Reference List'!$E:$E,0)))</f>
        <v>Tin</v>
      </c>
      <c r="C132" s="298" t="str">
        <f ca="1">IF(LEN(A132)=0,"",INDEX('Smelter Reference List'!$C:$C,MATCH($A132,'Smelter Reference List'!$E:$E,0)))</f>
        <v>PT Bangka Tin Industry</v>
      </c>
      <c r="D132" s="292" t="str">
        <f ca="1">IF(ISERROR($S132),"",OFFSET('Smelter Reference List'!$C$4,$S132-4,0)&amp;"")</f>
        <v>PT Bangka Tin Industry</v>
      </c>
      <c r="E132" s="292" t="str">
        <f ca="1">IF(ISERROR($S132),"",OFFSET('Smelter Reference List'!$D$4,$S132-4,0)&amp;"")</f>
        <v>INDONESIA</v>
      </c>
      <c r="F132" s="292" t="str">
        <f ca="1">IF(ISERROR($S132),"",OFFSET('Smelter Reference List'!$E$4,$S132-4,0))</f>
        <v>CID001419</v>
      </c>
      <c r="G132" s="292" t="str">
        <f ca="1">IF(C132=$U$4,"Enter smelter details", IF(ISERROR($S132),"",OFFSET('Smelter Reference List'!$F$4,$S132-4,0)))</f>
        <v>CFSI</v>
      </c>
      <c r="H132" s="293">
        <f ca="1">IF(ISERROR($S132),"",OFFSET('Smelter Reference List'!$G$4,$S132-4,0))</f>
        <v>0</v>
      </c>
      <c r="I132" s="294" t="str">
        <f ca="1">IF(ISERROR($S132),"",OFFSET('Smelter Reference List'!$H$4,$S132-4,0))</f>
        <v>Sungailiat</v>
      </c>
      <c r="J132" s="294" t="str">
        <f ca="1">IF(ISERROR($S132),"",OFFSET('Smelter Reference List'!$I$4,$S132-4,0))</f>
        <v>Bangka</v>
      </c>
      <c r="K132" s="295"/>
      <c r="L132" s="295"/>
      <c r="M132" s="295"/>
      <c r="N132" s="295"/>
      <c r="O132" s="295"/>
      <c r="P132" s="295"/>
      <c r="Q132" s="296"/>
      <c r="R132" s="227"/>
      <c r="S132" s="228">
        <f ca="1">IF(C132="",NA(),MATCH($B132&amp;$C132,'Smelter Reference List'!$J:$J,0))</f>
        <v>405</v>
      </c>
      <c r="T132" s="229"/>
      <c r="U132" s="229">
        <f t="shared" ca="1" si="4"/>
        <v>0</v>
      </c>
      <c r="V132" s="229"/>
      <c r="W132" s="229"/>
      <c r="Y132" s="223" t="str">
        <f t="shared" ca="1" si="5"/>
        <v>TinPT Bangka Tin Industry</v>
      </c>
    </row>
    <row r="133" spans="1:25" s="223" customFormat="1" ht="20.25">
      <c r="A133" s="291" t="s">
        <v>1364</v>
      </c>
      <c r="B133" s="292" t="str">
        <f ca="1">IF(LEN(A133)=0,"",INDEX('Smelter Reference List'!$A:$A,MATCH($A133,'Smelter Reference List'!$E:$E,0)))</f>
        <v>Tin</v>
      </c>
      <c r="C133" s="298" t="str">
        <f ca="1">IF(LEN(A133)=0,"",INDEX('Smelter Reference List'!$C:$C,MATCH($A133,'Smelter Reference List'!$E:$E,0)))</f>
        <v>PT Belitung Industri Sejahtera</v>
      </c>
      <c r="D133" s="292" t="str">
        <f ca="1">IF(ISERROR($S133),"",OFFSET('Smelter Reference List'!$C$4,$S133-4,0)&amp;"")</f>
        <v>PT Belitung Industri Sejahtera</v>
      </c>
      <c r="E133" s="292" t="str">
        <f ca="1">IF(ISERROR($S133),"",OFFSET('Smelter Reference List'!$D$4,$S133-4,0)&amp;"")</f>
        <v>INDONESIA</v>
      </c>
      <c r="F133" s="292" t="str">
        <f ca="1">IF(ISERROR($S133),"",OFFSET('Smelter Reference List'!$E$4,$S133-4,0))</f>
        <v>CID001421</v>
      </c>
      <c r="G133" s="292" t="str">
        <f ca="1">IF(C133=$U$4,"Enter smelter details", IF(ISERROR($S133),"",OFFSET('Smelter Reference List'!$F$4,$S133-4,0)))</f>
        <v>CFSI</v>
      </c>
      <c r="H133" s="293">
        <f ca="1">IF(ISERROR($S133),"",OFFSET('Smelter Reference List'!$G$4,$S133-4,0))</f>
        <v>0</v>
      </c>
      <c r="I133" s="294" t="str">
        <f ca="1">IF(ISERROR($S133),"",OFFSET('Smelter Reference List'!$H$4,$S133-4,0))</f>
        <v>Pangkal Pinang</v>
      </c>
      <c r="J133" s="294" t="str">
        <f ca="1">IF(ISERROR($S133),"",OFFSET('Smelter Reference List'!$I$4,$S133-4,0))</f>
        <v>Bangka</v>
      </c>
      <c r="K133" s="295"/>
      <c r="L133" s="295"/>
      <c r="M133" s="295"/>
      <c r="N133" s="295"/>
      <c r="O133" s="295"/>
      <c r="P133" s="295"/>
      <c r="Q133" s="296"/>
      <c r="R133" s="227"/>
      <c r="S133" s="228">
        <f ca="1">IF(C133="",NA(),MATCH($B133&amp;$C133,'Smelter Reference List'!$J:$J,0))</f>
        <v>406</v>
      </c>
      <c r="T133" s="229"/>
      <c r="U133" s="229">
        <f t="shared" ref="U133:U196" ca="1" si="6">IF(AND(C133="Smelter not listed",OR(LEN(D133)=0,LEN(E133)=0)),1,0)</f>
        <v>0</v>
      </c>
      <c r="V133" s="229"/>
      <c r="W133" s="229"/>
      <c r="Y133" s="223" t="str">
        <f t="shared" ref="Y133:Y196" ca="1" si="7">B133&amp;C133</f>
        <v>TinPT Belitung Industri Sejahtera</v>
      </c>
    </row>
    <row r="134" spans="1:25" s="223" customFormat="1" ht="20.25">
      <c r="A134" s="291" t="s">
        <v>1365</v>
      </c>
      <c r="B134" s="292" t="str">
        <f ca="1">IF(LEN(A134)=0,"",INDEX('Smelter Reference List'!$A:$A,MATCH($A134,'Smelter Reference List'!$E:$E,0)))</f>
        <v>Tin</v>
      </c>
      <c r="C134" s="298" t="str">
        <f ca="1">IF(LEN(A134)=0,"",INDEX('Smelter Reference List'!$C:$C,MATCH($A134,'Smelter Reference List'!$E:$E,0)))</f>
        <v>PT Bukit Timah</v>
      </c>
      <c r="D134" s="292" t="str">
        <f ca="1">IF(ISERROR($S134),"",OFFSET('Smelter Reference List'!$C$4,$S134-4,0)&amp;"")</f>
        <v>PT Bukit Timah</v>
      </c>
      <c r="E134" s="292" t="str">
        <f ca="1">IF(ISERROR($S134),"",OFFSET('Smelter Reference List'!$D$4,$S134-4,0)&amp;"")</f>
        <v>INDONESIA</v>
      </c>
      <c r="F134" s="292" t="str">
        <f ca="1">IF(ISERROR($S134),"",OFFSET('Smelter Reference List'!$E$4,$S134-4,0))</f>
        <v>CID001428</v>
      </c>
      <c r="G134" s="292" t="str">
        <f ca="1">IF(C134=$U$4,"Enter smelter details", IF(ISERROR($S134),"",OFFSET('Smelter Reference List'!$F$4,$S134-4,0)))</f>
        <v>CFSI</v>
      </c>
      <c r="H134" s="293">
        <f ca="1">IF(ISERROR($S134),"",OFFSET('Smelter Reference List'!$G$4,$S134-4,0))</f>
        <v>0</v>
      </c>
      <c r="I134" s="294" t="str">
        <f ca="1">IF(ISERROR($S134),"",OFFSET('Smelter Reference List'!$H$4,$S134-4,0))</f>
        <v>Pangkal Pinang</v>
      </c>
      <c r="J134" s="294" t="str">
        <f ca="1">IF(ISERROR($S134),"",OFFSET('Smelter Reference List'!$I$4,$S134-4,0))</f>
        <v>Bangka</v>
      </c>
      <c r="K134" s="295"/>
      <c r="L134" s="295"/>
      <c r="M134" s="295"/>
      <c r="N134" s="295"/>
      <c r="O134" s="295"/>
      <c r="P134" s="295"/>
      <c r="Q134" s="296"/>
      <c r="R134" s="227"/>
      <c r="S134" s="228">
        <f ca="1">IF(C134="",NA(),MATCH($B134&amp;$C134,'Smelter Reference List'!$J:$J,0))</f>
        <v>407</v>
      </c>
      <c r="T134" s="229"/>
      <c r="U134" s="229">
        <f t="shared" ca="1" si="6"/>
        <v>0</v>
      </c>
      <c r="V134" s="229"/>
      <c r="W134" s="229"/>
      <c r="Y134" s="223" t="str">
        <f t="shared" ca="1" si="7"/>
        <v>TinPT Bukit Timah</v>
      </c>
    </row>
    <row r="135" spans="1:25" s="223" customFormat="1" ht="20.25">
      <c r="A135" s="291" t="s">
        <v>1366</v>
      </c>
      <c r="B135" s="292" t="str">
        <f ca="1">IF(LEN(A135)=0,"",INDEX('Smelter Reference List'!$A:$A,MATCH($A135,'Smelter Reference List'!$E:$E,0)))</f>
        <v>Tin</v>
      </c>
      <c r="C135" s="298" t="str">
        <f ca="1">IF(LEN(A135)=0,"",INDEX('Smelter Reference List'!$C:$C,MATCH($A135,'Smelter Reference List'!$E:$E,0)))</f>
        <v>PT DS Jaya Abadi</v>
      </c>
      <c r="D135" s="292" t="str">
        <f ca="1">IF(ISERROR($S135),"",OFFSET('Smelter Reference List'!$C$4,$S135-4,0)&amp;"")</f>
        <v>PT DS Jaya Abadi</v>
      </c>
      <c r="E135" s="292" t="str">
        <f ca="1">IF(ISERROR($S135),"",OFFSET('Smelter Reference List'!$D$4,$S135-4,0)&amp;"")</f>
        <v>INDONESIA</v>
      </c>
      <c r="F135" s="292" t="str">
        <f ca="1">IF(ISERROR($S135),"",OFFSET('Smelter Reference List'!$E$4,$S135-4,0))</f>
        <v>CID001434</v>
      </c>
      <c r="G135" s="292" t="str">
        <f ca="1">IF(C135=$U$4,"Enter smelter details", IF(ISERROR($S135),"",OFFSET('Smelter Reference List'!$F$4,$S135-4,0)))</f>
        <v>CFSI</v>
      </c>
      <c r="H135" s="293">
        <f ca="1">IF(ISERROR($S135),"",OFFSET('Smelter Reference List'!$G$4,$S135-4,0))</f>
        <v>0</v>
      </c>
      <c r="I135" s="294" t="str">
        <f ca="1">IF(ISERROR($S135),"",OFFSET('Smelter Reference List'!$H$4,$S135-4,0))</f>
        <v>Pangkal Pinang</v>
      </c>
      <c r="J135" s="294" t="str">
        <f ca="1">IF(ISERROR($S135),"",OFFSET('Smelter Reference List'!$I$4,$S135-4,0))</f>
        <v>Bangka</v>
      </c>
      <c r="K135" s="295"/>
      <c r="L135" s="295"/>
      <c r="M135" s="295"/>
      <c r="N135" s="295"/>
      <c r="O135" s="295"/>
      <c r="P135" s="295"/>
      <c r="Q135" s="296"/>
      <c r="R135" s="227"/>
      <c r="S135" s="228">
        <f ca="1">IF(C135="",NA(),MATCH($B135&amp;$C135,'Smelter Reference List'!$J:$J,0))</f>
        <v>409</v>
      </c>
      <c r="T135" s="229"/>
      <c r="U135" s="229">
        <f t="shared" ca="1" si="6"/>
        <v>0</v>
      </c>
      <c r="V135" s="229"/>
      <c r="W135" s="229"/>
      <c r="Y135" s="223" t="str">
        <f t="shared" ca="1" si="7"/>
        <v>TinPT DS Jaya Abadi</v>
      </c>
    </row>
    <row r="136" spans="1:25" s="223" customFormat="1" ht="20.25">
      <c r="A136" s="291" t="s">
        <v>1367</v>
      </c>
      <c r="B136" s="292" t="str">
        <f ca="1">IF(LEN(A136)=0,"",INDEX('Smelter Reference List'!$A:$A,MATCH($A136,'Smelter Reference List'!$E:$E,0)))</f>
        <v>Tin</v>
      </c>
      <c r="C136" s="298" t="str">
        <f ca="1">IF(LEN(A136)=0,"",INDEX('Smelter Reference List'!$C:$C,MATCH($A136,'Smelter Reference List'!$E:$E,0)))</f>
        <v>PT Eunindo Usaha Mandiri</v>
      </c>
      <c r="D136" s="292" t="str">
        <f ca="1">IF(ISERROR($S136),"",OFFSET('Smelter Reference List'!$C$4,$S136-4,0)&amp;"")</f>
        <v>PT Eunindo Usaha Mandiri</v>
      </c>
      <c r="E136" s="292" t="str">
        <f ca="1">IF(ISERROR($S136),"",OFFSET('Smelter Reference List'!$D$4,$S136-4,0)&amp;"")</f>
        <v>INDONESIA</v>
      </c>
      <c r="F136" s="292" t="str">
        <f ca="1">IF(ISERROR($S136),"",OFFSET('Smelter Reference List'!$E$4,$S136-4,0))</f>
        <v>CID001438</v>
      </c>
      <c r="G136" s="292" t="str">
        <f ca="1">IF(C136=$U$4,"Enter smelter details", IF(ISERROR($S136),"",OFFSET('Smelter Reference List'!$F$4,$S136-4,0)))</f>
        <v>CFSI</v>
      </c>
      <c r="H136" s="293">
        <f ca="1">IF(ISERROR($S136),"",OFFSET('Smelter Reference List'!$G$4,$S136-4,0))</f>
        <v>0</v>
      </c>
      <c r="I136" s="294" t="str">
        <f ca="1">IF(ISERROR($S136),"",OFFSET('Smelter Reference List'!$H$4,$S136-4,0))</f>
        <v>Karimun</v>
      </c>
      <c r="J136" s="294" t="str">
        <f ca="1">IF(ISERROR($S136),"",OFFSET('Smelter Reference List'!$I$4,$S136-4,0))</f>
        <v>Kepulauan Riau</v>
      </c>
      <c r="K136" s="295"/>
      <c r="L136" s="295"/>
      <c r="M136" s="295"/>
      <c r="N136" s="295"/>
      <c r="O136" s="295"/>
      <c r="P136" s="295"/>
      <c r="Q136" s="296"/>
      <c r="R136" s="227"/>
      <c r="S136" s="228">
        <f ca="1">IF(C136="",NA(),MATCH($B136&amp;$C136,'Smelter Reference List'!$J:$J,0))</f>
        <v>410</v>
      </c>
      <c r="T136" s="229"/>
      <c r="U136" s="229">
        <f t="shared" ca="1" si="6"/>
        <v>0</v>
      </c>
      <c r="V136" s="229"/>
      <c r="W136" s="229"/>
      <c r="Y136" s="223" t="str">
        <f t="shared" ca="1" si="7"/>
        <v>TinPT Eunindo Usaha Mandiri</v>
      </c>
    </row>
    <row r="137" spans="1:25" s="223" customFormat="1" ht="20.25">
      <c r="A137" s="291" t="s">
        <v>1368</v>
      </c>
      <c r="B137" s="292" t="str">
        <f ca="1">IF(LEN(A137)=0,"",INDEX('Smelter Reference List'!$A:$A,MATCH($A137,'Smelter Reference List'!$E:$E,0)))</f>
        <v>Tin</v>
      </c>
      <c r="C137" s="298" t="str">
        <f ca="1">IF(LEN(A137)=0,"",INDEX('Smelter Reference List'!$C:$C,MATCH($A137,'Smelter Reference List'!$E:$E,0)))</f>
        <v>PT Karimun Mining</v>
      </c>
      <c r="D137" s="292" t="str">
        <f ca="1">IF(ISERROR($S137),"",OFFSET('Smelter Reference List'!$C$4,$S137-4,0)&amp;"")</f>
        <v>PT Karimun Mining</v>
      </c>
      <c r="E137" s="292" t="str">
        <f ca="1">IF(ISERROR($S137),"",OFFSET('Smelter Reference List'!$D$4,$S137-4,0)&amp;"")</f>
        <v>INDONESIA</v>
      </c>
      <c r="F137" s="292" t="str">
        <f ca="1">IF(ISERROR($S137),"",OFFSET('Smelter Reference List'!$E$4,$S137-4,0))</f>
        <v>CID001448</v>
      </c>
      <c r="G137" s="292" t="str">
        <f ca="1">IF(C137=$U$4,"Enter smelter details", IF(ISERROR($S137),"",OFFSET('Smelter Reference List'!$F$4,$S137-4,0)))</f>
        <v>CFSI</v>
      </c>
      <c r="H137" s="293">
        <f ca="1">IF(ISERROR($S137),"",OFFSET('Smelter Reference List'!$G$4,$S137-4,0))</f>
        <v>0</v>
      </c>
      <c r="I137" s="294" t="str">
        <f ca="1">IF(ISERROR($S137),"",OFFSET('Smelter Reference List'!$H$4,$S137-4,0))</f>
        <v>Karimun</v>
      </c>
      <c r="J137" s="294" t="str">
        <f ca="1">IF(ISERROR($S137),"",OFFSET('Smelter Reference List'!$I$4,$S137-4,0))</f>
        <v>Kepulauan Riau</v>
      </c>
      <c r="K137" s="295"/>
      <c r="L137" s="295"/>
      <c r="M137" s="295"/>
      <c r="N137" s="295"/>
      <c r="O137" s="295"/>
      <c r="P137" s="295"/>
      <c r="Q137" s="296"/>
      <c r="R137" s="227"/>
      <c r="S137" s="228">
        <f ca="1">IF(C137="",NA(),MATCH($B137&amp;$C137,'Smelter Reference List'!$J:$J,0))</f>
        <v>415</v>
      </c>
      <c r="T137" s="229"/>
      <c r="U137" s="229">
        <f t="shared" ca="1" si="6"/>
        <v>0</v>
      </c>
      <c r="V137" s="229"/>
      <c r="W137" s="229"/>
      <c r="Y137" s="223" t="str">
        <f t="shared" ca="1" si="7"/>
        <v>TinPT Karimun Mining</v>
      </c>
    </row>
    <row r="138" spans="1:25" s="223" customFormat="1" ht="20.25">
      <c r="A138" s="291" t="s">
        <v>1369</v>
      </c>
      <c r="B138" s="292" t="str">
        <f ca="1">IF(LEN(A138)=0,"",INDEX('Smelter Reference List'!$A:$A,MATCH($A138,'Smelter Reference List'!$E:$E,0)))</f>
        <v>Tin</v>
      </c>
      <c r="C138" s="298" t="str">
        <f ca="1">IF(LEN(A138)=0,"",INDEX('Smelter Reference List'!$C:$C,MATCH($A138,'Smelter Reference List'!$E:$E,0)))</f>
        <v>PT Mitra Stania Prima</v>
      </c>
      <c r="D138" s="292" t="str">
        <f ca="1">IF(ISERROR($S138),"",OFFSET('Smelter Reference List'!$C$4,$S138-4,0)&amp;"")</f>
        <v>PT Mitra Stania Prima</v>
      </c>
      <c r="E138" s="292" t="str">
        <f ca="1">IF(ISERROR($S138),"",OFFSET('Smelter Reference List'!$D$4,$S138-4,0)&amp;"")</f>
        <v>INDONESIA</v>
      </c>
      <c r="F138" s="292" t="str">
        <f ca="1">IF(ISERROR($S138),"",OFFSET('Smelter Reference List'!$E$4,$S138-4,0))</f>
        <v>CID001453</v>
      </c>
      <c r="G138" s="292" t="str">
        <f ca="1">IF(C138=$U$4,"Enter smelter details", IF(ISERROR($S138),"",OFFSET('Smelter Reference List'!$F$4,$S138-4,0)))</f>
        <v>CFSI</v>
      </c>
      <c r="H138" s="293">
        <f ca="1">IF(ISERROR($S138),"",OFFSET('Smelter Reference List'!$G$4,$S138-4,0))</f>
        <v>0</v>
      </c>
      <c r="I138" s="294" t="str">
        <f ca="1">IF(ISERROR($S138),"",OFFSET('Smelter Reference List'!$H$4,$S138-4,0))</f>
        <v>Sungailiat</v>
      </c>
      <c r="J138" s="294" t="str">
        <f ca="1">IF(ISERROR($S138),"",OFFSET('Smelter Reference List'!$I$4,$S138-4,0))</f>
        <v>Bangka</v>
      </c>
      <c r="K138" s="295"/>
      <c r="L138" s="295"/>
      <c r="M138" s="295"/>
      <c r="N138" s="295"/>
      <c r="O138" s="295"/>
      <c r="P138" s="295"/>
      <c r="Q138" s="296"/>
      <c r="R138" s="227"/>
      <c r="S138" s="228">
        <f ca="1">IF(C138="",NA(),MATCH($B138&amp;$C138,'Smelter Reference List'!$J:$J,0))</f>
        <v>419</v>
      </c>
      <c r="T138" s="229"/>
      <c r="U138" s="229">
        <f t="shared" ca="1" si="6"/>
        <v>0</v>
      </c>
      <c r="V138" s="229"/>
      <c r="W138" s="229"/>
      <c r="Y138" s="223" t="str">
        <f t="shared" ca="1" si="7"/>
        <v>TinPT Mitra Stania Prima</v>
      </c>
    </row>
    <row r="139" spans="1:25" s="223" customFormat="1" ht="20.25">
      <c r="A139" s="291" t="s">
        <v>2633</v>
      </c>
      <c r="B139" s="292" t="str">
        <f ca="1">IF(LEN(A139)=0,"",INDEX('Smelter Reference List'!$A:$A,MATCH($A139,'Smelter Reference List'!$E:$E,0)))</f>
        <v>Tin</v>
      </c>
      <c r="C139" s="298" t="str">
        <f ca="1">IF(LEN(A139)=0,"",INDEX('Smelter Reference List'!$C:$C,MATCH($A139,'Smelter Reference List'!$E:$E,0)))</f>
        <v>PT Panca Mega Persada</v>
      </c>
      <c r="D139" s="292" t="str">
        <f ca="1">IF(ISERROR($S139),"",OFFSET('Smelter Reference List'!$C$4,$S139-4,0)&amp;"")</f>
        <v>PT Panca Mega Persada</v>
      </c>
      <c r="E139" s="292" t="str">
        <f ca="1">IF(ISERROR($S139),"",OFFSET('Smelter Reference List'!$D$4,$S139-4,0)&amp;"")</f>
        <v>INDONESIA</v>
      </c>
      <c r="F139" s="292" t="str">
        <f ca="1">IF(ISERROR($S139),"",OFFSET('Smelter Reference List'!$E$4,$S139-4,0))</f>
        <v>CID001457</v>
      </c>
      <c r="G139" s="292" t="str">
        <f ca="1">IF(C139=$U$4,"Enter smelter details", IF(ISERROR($S139),"",OFFSET('Smelter Reference List'!$F$4,$S139-4,0)))</f>
        <v>CFSI</v>
      </c>
      <c r="H139" s="293">
        <f ca="1">IF(ISERROR($S139),"",OFFSET('Smelter Reference List'!$G$4,$S139-4,0))</f>
        <v>0</v>
      </c>
      <c r="I139" s="294" t="str">
        <f ca="1">IF(ISERROR($S139),"",OFFSET('Smelter Reference List'!$H$4,$S139-4,0))</f>
        <v>Sungailiat</v>
      </c>
      <c r="J139" s="294" t="str">
        <f ca="1">IF(ISERROR($S139),"",OFFSET('Smelter Reference List'!$I$4,$S139-4,0))</f>
        <v>Bangka</v>
      </c>
      <c r="K139" s="295"/>
      <c r="L139" s="295"/>
      <c r="M139" s="295"/>
      <c r="N139" s="295"/>
      <c r="O139" s="295"/>
      <c r="P139" s="295"/>
      <c r="Q139" s="296"/>
      <c r="R139" s="227"/>
      <c r="S139" s="228">
        <f ca="1">IF(C139="",NA(),MATCH($B139&amp;$C139,'Smelter Reference List'!$J:$J,0))</f>
        <v>421</v>
      </c>
      <c r="T139" s="229"/>
      <c r="U139" s="229">
        <f t="shared" ca="1" si="6"/>
        <v>0</v>
      </c>
      <c r="V139" s="229"/>
      <c r="W139" s="229"/>
      <c r="Y139" s="223" t="str">
        <f t="shared" ca="1" si="7"/>
        <v>TinPT Panca Mega Persada</v>
      </c>
    </row>
    <row r="140" spans="1:25" s="223" customFormat="1" ht="20.25">
      <c r="A140" s="291" t="s">
        <v>1371</v>
      </c>
      <c r="B140" s="292" t="str">
        <f ca="1">IF(LEN(A140)=0,"",INDEX('Smelter Reference List'!$A:$A,MATCH($A140,'Smelter Reference List'!$E:$E,0)))</f>
        <v>Tin</v>
      </c>
      <c r="C140" s="298" t="str">
        <f ca="1">IF(LEN(A140)=0,"",INDEX('Smelter Reference List'!$C:$C,MATCH($A140,'Smelter Reference List'!$E:$E,0)))</f>
        <v>PT Prima Timah Utama</v>
      </c>
      <c r="D140" s="292" t="str">
        <f ca="1">IF(ISERROR($S140),"",OFFSET('Smelter Reference List'!$C$4,$S140-4,0)&amp;"")</f>
        <v>PT Prima Timah Utama</v>
      </c>
      <c r="E140" s="292" t="str">
        <f ca="1">IF(ISERROR($S140),"",OFFSET('Smelter Reference List'!$D$4,$S140-4,0)&amp;"")</f>
        <v>INDONESIA</v>
      </c>
      <c r="F140" s="292" t="str">
        <f ca="1">IF(ISERROR($S140),"",OFFSET('Smelter Reference List'!$E$4,$S140-4,0))</f>
        <v>CID001458</v>
      </c>
      <c r="G140" s="292" t="str">
        <f ca="1">IF(C140=$U$4,"Enter smelter details", IF(ISERROR($S140),"",OFFSET('Smelter Reference List'!$F$4,$S140-4,0)))</f>
        <v>CFSI</v>
      </c>
      <c r="H140" s="293">
        <f ca="1">IF(ISERROR($S140),"",OFFSET('Smelter Reference List'!$G$4,$S140-4,0))</f>
        <v>0</v>
      </c>
      <c r="I140" s="294" t="str">
        <f ca="1">IF(ISERROR($S140),"",OFFSET('Smelter Reference List'!$H$4,$S140-4,0))</f>
        <v>Pangkal Pinang</v>
      </c>
      <c r="J140" s="294" t="str">
        <f ca="1">IF(ISERROR($S140),"",OFFSET('Smelter Reference List'!$I$4,$S140-4,0))</f>
        <v>Bangka</v>
      </c>
      <c r="K140" s="295"/>
      <c r="L140" s="295"/>
      <c r="M140" s="295"/>
      <c r="N140" s="295"/>
      <c r="O140" s="295"/>
      <c r="P140" s="295"/>
      <c r="Q140" s="296"/>
      <c r="R140" s="227"/>
      <c r="S140" s="228">
        <f ca="1">IF(C140="",NA(),MATCH($B140&amp;$C140,'Smelter Reference List'!$J:$J,0))</f>
        <v>422</v>
      </c>
      <c r="T140" s="229"/>
      <c r="U140" s="229">
        <f t="shared" ca="1" si="6"/>
        <v>0</v>
      </c>
      <c r="V140" s="229"/>
      <c r="W140" s="229"/>
      <c r="Y140" s="223" t="str">
        <f t="shared" ca="1" si="7"/>
        <v>TinPT Prima Timah Utama</v>
      </c>
    </row>
    <row r="141" spans="1:25" s="223" customFormat="1" ht="20.25">
      <c r="A141" s="291" t="s">
        <v>1372</v>
      </c>
      <c r="B141" s="292" t="str">
        <f ca="1">IF(LEN(A141)=0,"",INDEX('Smelter Reference List'!$A:$A,MATCH($A141,'Smelter Reference List'!$E:$E,0)))</f>
        <v>Tin</v>
      </c>
      <c r="C141" s="298" t="str">
        <f ca="1">IF(LEN(A141)=0,"",INDEX('Smelter Reference List'!$C:$C,MATCH($A141,'Smelter Reference List'!$E:$E,0)))</f>
        <v>PT Refined Bangka Tin</v>
      </c>
      <c r="D141" s="292" t="str">
        <f ca="1">IF(ISERROR($S141),"",OFFSET('Smelter Reference List'!$C$4,$S141-4,0)&amp;"")</f>
        <v>PT Refined Bangka Tin</v>
      </c>
      <c r="E141" s="292" t="str">
        <f ca="1">IF(ISERROR($S141),"",OFFSET('Smelter Reference List'!$D$4,$S141-4,0)&amp;"")</f>
        <v>INDONESIA</v>
      </c>
      <c r="F141" s="292" t="str">
        <f ca="1">IF(ISERROR($S141),"",OFFSET('Smelter Reference List'!$E$4,$S141-4,0))</f>
        <v>CID001460</v>
      </c>
      <c r="G141" s="292" t="str">
        <f ca="1">IF(C141=$U$4,"Enter smelter details", IF(ISERROR($S141),"",OFFSET('Smelter Reference List'!$F$4,$S141-4,0)))</f>
        <v>CFSI</v>
      </c>
      <c r="H141" s="293">
        <f ca="1">IF(ISERROR($S141),"",OFFSET('Smelter Reference List'!$G$4,$S141-4,0))</f>
        <v>0</v>
      </c>
      <c r="I141" s="294" t="str">
        <f ca="1">IF(ISERROR($S141),"",OFFSET('Smelter Reference List'!$H$4,$S141-4,0))</f>
        <v>Sungailiat</v>
      </c>
      <c r="J141" s="294" t="str">
        <f ca="1">IF(ISERROR($S141),"",OFFSET('Smelter Reference List'!$I$4,$S141-4,0))</f>
        <v>Bangka</v>
      </c>
      <c r="K141" s="295"/>
      <c r="L141" s="295"/>
      <c r="M141" s="295"/>
      <c r="N141" s="295"/>
      <c r="O141" s="295"/>
      <c r="P141" s="295"/>
      <c r="Q141" s="296"/>
      <c r="R141" s="227"/>
      <c r="S141" s="228">
        <f ca="1">IF(C141="",NA(),MATCH($B141&amp;$C141,'Smelter Reference List'!$J:$J,0))</f>
        <v>423</v>
      </c>
      <c r="T141" s="229"/>
      <c r="U141" s="229">
        <f t="shared" ca="1" si="6"/>
        <v>0</v>
      </c>
      <c r="V141" s="229"/>
      <c r="W141" s="229"/>
      <c r="Y141" s="223" t="str">
        <f t="shared" ca="1" si="7"/>
        <v>TinPT Refined Bangka Tin</v>
      </c>
    </row>
    <row r="142" spans="1:25" s="223" customFormat="1" ht="20.25">
      <c r="A142" s="291" t="s">
        <v>1373</v>
      </c>
      <c r="B142" s="292" t="str">
        <f ca="1">IF(LEN(A142)=0,"",INDEX('Smelter Reference List'!$A:$A,MATCH($A142,'Smelter Reference List'!$E:$E,0)))</f>
        <v>Tin</v>
      </c>
      <c r="C142" s="298" t="str">
        <f ca="1">IF(LEN(A142)=0,"",INDEX('Smelter Reference List'!$C:$C,MATCH($A142,'Smelter Reference List'!$E:$E,0)))</f>
        <v>PT Sariwiguna Binasentosa</v>
      </c>
      <c r="D142" s="292" t="str">
        <f ca="1">IF(ISERROR($S142),"",OFFSET('Smelter Reference List'!$C$4,$S142-4,0)&amp;"")</f>
        <v>PT Sariwiguna Binasentosa</v>
      </c>
      <c r="E142" s="292" t="str">
        <f ca="1">IF(ISERROR($S142),"",OFFSET('Smelter Reference List'!$D$4,$S142-4,0)&amp;"")</f>
        <v>INDONESIA</v>
      </c>
      <c r="F142" s="292" t="str">
        <f ca="1">IF(ISERROR($S142),"",OFFSET('Smelter Reference List'!$E$4,$S142-4,0))</f>
        <v>CID001463</v>
      </c>
      <c r="G142" s="292" t="str">
        <f ca="1">IF(C142=$U$4,"Enter smelter details", IF(ISERROR($S142),"",OFFSET('Smelter Reference List'!$F$4,$S142-4,0)))</f>
        <v>CFSI</v>
      </c>
      <c r="H142" s="293">
        <f ca="1">IF(ISERROR($S142),"",OFFSET('Smelter Reference List'!$G$4,$S142-4,0))</f>
        <v>0</v>
      </c>
      <c r="I142" s="294" t="str">
        <f ca="1">IF(ISERROR($S142),"",OFFSET('Smelter Reference List'!$H$4,$S142-4,0))</f>
        <v>Pangkal Pinang</v>
      </c>
      <c r="J142" s="294" t="str">
        <f ca="1">IF(ISERROR($S142),"",OFFSET('Smelter Reference List'!$I$4,$S142-4,0))</f>
        <v>Bangka</v>
      </c>
      <c r="K142" s="295"/>
      <c r="L142" s="295"/>
      <c r="M142" s="295"/>
      <c r="N142" s="295"/>
      <c r="O142" s="295"/>
      <c r="P142" s="295"/>
      <c r="Q142" s="296"/>
      <c r="R142" s="227"/>
      <c r="S142" s="228">
        <f ca="1">IF(C142="",NA(),MATCH($B142&amp;$C142,'Smelter Reference List'!$J:$J,0))</f>
        <v>424</v>
      </c>
      <c r="T142" s="229"/>
      <c r="U142" s="229">
        <f t="shared" ca="1" si="6"/>
        <v>0</v>
      </c>
      <c r="V142" s="229"/>
      <c r="W142" s="229"/>
      <c r="Y142" s="223" t="str">
        <f t="shared" ca="1" si="7"/>
        <v>TinPT Sariwiguna Binasentosa</v>
      </c>
    </row>
    <row r="143" spans="1:25" s="223" customFormat="1" ht="20.25">
      <c r="A143" s="291" t="s">
        <v>1374</v>
      </c>
      <c r="B143" s="292" t="str">
        <f ca="1">IF(LEN(A143)=0,"",INDEX('Smelter Reference List'!$A:$A,MATCH($A143,'Smelter Reference List'!$E:$E,0)))</f>
        <v>Tin</v>
      </c>
      <c r="C143" s="298" t="str">
        <f ca="1">IF(LEN(A143)=0,"",INDEX('Smelter Reference List'!$C:$C,MATCH($A143,'Smelter Reference List'!$E:$E,0)))</f>
        <v>PT Stanindo Inti Perkasa</v>
      </c>
      <c r="D143" s="292" t="str">
        <f ca="1">IF(ISERROR($S143),"",OFFSET('Smelter Reference List'!$C$4,$S143-4,0)&amp;"")</f>
        <v>PT Stanindo Inti Perkasa</v>
      </c>
      <c r="E143" s="292" t="str">
        <f ca="1">IF(ISERROR($S143),"",OFFSET('Smelter Reference List'!$D$4,$S143-4,0)&amp;"")</f>
        <v>INDONESIA</v>
      </c>
      <c r="F143" s="292" t="str">
        <f ca="1">IF(ISERROR($S143),"",OFFSET('Smelter Reference List'!$E$4,$S143-4,0))</f>
        <v>CID001468</v>
      </c>
      <c r="G143" s="292" t="str">
        <f ca="1">IF(C143=$U$4,"Enter smelter details", IF(ISERROR($S143),"",OFFSET('Smelter Reference List'!$F$4,$S143-4,0)))</f>
        <v>CFSI</v>
      </c>
      <c r="H143" s="293">
        <f ca="1">IF(ISERROR($S143),"",OFFSET('Smelter Reference List'!$G$4,$S143-4,0))</f>
        <v>0</v>
      </c>
      <c r="I143" s="294" t="str">
        <f ca="1">IF(ISERROR($S143),"",OFFSET('Smelter Reference List'!$H$4,$S143-4,0))</f>
        <v>Pangkal Pinang</v>
      </c>
      <c r="J143" s="294" t="str">
        <f ca="1">IF(ISERROR($S143),"",OFFSET('Smelter Reference List'!$I$4,$S143-4,0))</f>
        <v>Bangka</v>
      </c>
      <c r="K143" s="295"/>
      <c r="L143" s="295"/>
      <c r="M143" s="295"/>
      <c r="N143" s="295"/>
      <c r="O143" s="295"/>
      <c r="P143" s="295"/>
      <c r="Q143" s="296"/>
      <c r="R143" s="227"/>
      <c r="S143" s="228">
        <f ca="1">IF(C143="",NA(),MATCH($B143&amp;$C143,'Smelter Reference List'!$J:$J,0))</f>
        <v>425</v>
      </c>
      <c r="T143" s="229"/>
      <c r="U143" s="229">
        <f t="shared" ca="1" si="6"/>
        <v>0</v>
      </c>
      <c r="V143" s="229"/>
      <c r="W143" s="229"/>
      <c r="Y143" s="223" t="str">
        <f t="shared" ca="1" si="7"/>
        <v>TinPT Stanindo Inti Perkasa</v>
      </c>
    </row>
    <row r="144" spans="1:25" s="223" customFormat="1" ht="20.25">
      <c r="A144" s="291" t="s">
        <v>2635</v>
      </c>
      <c r="B144" s="292" t="str">
        <f ca="1">IF(LEN(A144)=0,"",INDEX('Smelter Reference List'!$A:$A,MATCH($A144,'Smelter Reference List'!$E:$E,0)))</f>
        <v>Tin</v>
      </c>
      <c r="C144" s="298" t="str">
        <f ca="1">IF(LEN(A144)=0,"",INDEX('Smelter Reference List'!$C:$C,MATCH($A144,'Smelter Reference List'!$E:$E,0)))</f>
        <v>PT Sumber Jaya Indah</v>
      </c>
      <c r="D144" s="292" t="str">
        <f ca="1">IF(ISERROR($S144),"",OFFSET('Smelter Reference List'!$C$4,$S144-4,0)&amp;"")</f>
        <v>PT Sumber Jaya Indah</v>
      </c>
      <c r="E144" s="292" t="str">
        <f ca="1">IF(ISERROR($S144),"",OFFSET('Smelter Reference List'!$D$4,$S144-4,0)&amp;"")</f>
        <v>INDONESIA</v>
      </c>
      <c r="F144" s="292" t="str">
        <f ca="1">IF(ISERROR($S144),"",OFFSET('Smelter Reference List'!$E$4,$S144-4,0))</f>
        <v>CID001471</v>
      </c>
      <c r="G144" s="292" t="str">
        <f ca="1">IF(C144=$U$4,"Enter smelter details", IF(ISERROR($S144),"",OFFSET('Smelter Reference List'!$F$4,$S144-4,0)))</f>
        <v>CFSI</v>
      </c>
      <c r="H144" s="293">
        <f ca="1">IF(ISERROR($S144),"",OFFSET('Smelter Reference List'!$G$4,$S144-4,0))</f>
        <v>0</v>
      </c>
      <c r="I144" s="294" t="str">
        <f ca="1">IF(ISERROR($S144),"",OFFSET('Smelter Reference List'!$H$4,$S144-4,0))</f>
        <v>Pangkal Pinang</v>
      </c>
      <c r="J144" s="294" t="str">
        <f ca="1">IF(ISERROR($S144),"",OFFSET('Smelter Reference List'!$I$4,$S144-4,0))</f>
        <v>Bangka</v>
      </c>
      <c r="K144" s="295"/>
      <c r="L144" s="295"/>
      <c r="M144" s="295"/>
      <c r="N144" s="295"/>
      <c r="O144" s="295"/>
      <c r="P144" s="295"/>
      <c r="Q144" s="296"/>
      <c r="R144" s="227"/>
      <c r="S144" s="228">
        <f ca="1">IF(C144="",NA(),MATCH($B144&amp;$C144,'Smelter Reference List'!$J:$J,0))</f>
        <v>427</v>
      </c>
      <c r="T144" s="229"/>
      <c r="U144" s="229">
        <f t="shared" ca="1" si="6"/>
        <v>0</v>
      </c>
      <c r="V144" s="229"/>
      <c r="W144" s="229"/>
      <c r="Y144" s="223" t="str">
        <f t="shared" ca="1" si="7"/>
        <v>TinPT Sumber Jaya Indah</v>
      </c>
    </row>
    <row r="145" spans="1:25" s="223" customFormat="1" ht="20.25">
      <c r="A145" s="291" t="s">
        <v>1399</v>
      </c>
      <c r="B145" s="292" t="str">
        <f ca="1">IF(LEN(A145)=0,"",INDEX('Smelter Reference List'!$A:$A,MATCH($A145,'Smelter Reference List'!$E:$E,0)))</f>
        <v>Tin</v>
      </c>
      <c r="C145" s="298" t="str">
        <f ca="1">IF(LEN(A145)=0,"",INDEX('Smelter Reference List'!$C:$C,MATCH($A145,'Smelter Reference List'!$E:$E,0)))</f>
        <v>PT Timah (Persero) Tbk Kundur</v>
      </c>
      <c r="D145" s="292" t="str">
        <f ca="1">IF(ISERROR($S145),"",OFFSET('Smelter Reference List'!$C$4,$S145-4,0)&amp;"")</f>
        <v>PT Timah (Persero) Tbk Kundur</v>
      </c>
      <c r="E145" s="292" t="str">
        <f ca="1">IF(ISERROR($S145),"",OFFSET('Smelter Reference List'!$D$4,$S145-4,0)&amp;"")</f>
        <v>INDONESIA</v>
      </c>
      <c r="F145" s="292" t="str">
        <f ca="1">IF(ISERROR($S145),"",OFFSET('Smelter Reference List'!$E$4,$S145-4,0))</f>
        <v>CID001477</v>
      </c>
      <c r="G145" s="292" t="str">
        <f ca="1">IF(C145=$U$4,"Enter smelter details", IF(ISERROR($S145),"",OFFSET('Smelter Reference List'!$F$4,$S145-4,0)))</f>
        <v>CFSI</v>
      </c>
      <c r="H145" s="293">
        <f ca="1">IF(ISERROR($S145),"",OFFSET('Smelter Reference List'!$G$4,$S145-4,0))</f>
        <v>0</v>
      </c>
      <c r="I145" s="294" t="str">
        <f ca="1">IF(ISERROR($S145),"",OFFSET('Smelter Reference List'!$H$4,$S145-4,0))</f>
        <v>Kundur</v>
      </c>
      <c r="J145" s="294" t="str">
        <f ca="1">IF(ISERROR($S145),"",OFFSET('Smelter Reference List'!$I$4,$S145-4,0))</f>
        <v>Riau Islands</v>
      </c>
      <c r="K145" s="295"/>
      <c r="L145" s="295"/>
      <c r="M145" s="295"/>
      <c r="N145" s="295"/>
      <c r="O145" s="295"/>
      <c r="P145" s="295"/>
      <c r="Q145" s="296"/>
      <c r="R145" s="227"/>
      <c r="S145" s="228">
        <f ca="1">IF(C145="",NA(),MATCH($B145&amp;$C145,'Smelter Reference List'!$J:$J,0))</f>
        <v>429</v>
      </c>
      <c r="T145" s="229"/>
      <c r="U145" s="229">
        <f t="shared" ca="1" si="6"/>
        <v>0</v>
      </c>
      <c r="V145" s="229"/>
      <c r="W145" s="229"/>
      <c r="Y145" s="223" t="str">
        <f t="shared" ca="1" si="7"/>
        <v>TinPT Timah (Persero) Tbk Kundur</v>
      </c>
    </row>
    <row r="146" spans="1:25" s="223" customFormat="1" ht="20.25">
      <c r="A146" s="291" t="s">
        <v>1375</v>
      </c>
      <c r="B146" s="292" t="str">
        <f ca="1">IF(LEN(A146)=0,"",INDEX('Smelter Reference List'!$A:$A,MATCH($A146,'Smelter Reference List'!$E:$E,0)))</f>
        <v>Tin</v>
      </c>
      <c r="C146" s="298" t="str">
        <f ca="1">IF(LEN(A146)=0,"",INDEX('Smelter Reference List'!$C:$C,MATCH($A146,'Smelter Reference List'!$E:$E,0)))</f>
        <v>PT Timah (Persero) Tbk Mentok</v>
      </c>
      <c r="D146" s="292" t="str">
        <f ca="1">IF(ISERROR($S146),"",OFFSET('Smelter Reference List'!$C$4,$S146-4,0)&amp;"")</f>
        <v>PT Timah (Persero) Tbk Mentok</v>
      </c>
      <c r="E146" s="292" t="str">
        <f ca="1">IF(ISERROR($S146),"",OFFSET('Smelter Reference List'!$D$4,$S146-4,0)&amp;"")</f>
        <v>INDONESIA</v>
      </c>
      <c r="F146" s="292" t="str">
        <f ca="1">IF(ISERROR($S146),"",OFFSET('Smelter Reference List'!$E$4,$S146-4,0))</f>
        <v>CID001482</v>
      </c>
      <c r="G146" s="292" t="str">
        <f ca="1">IF(C146=$U$4,"Enter smelter details", IF(ISERROR($S146),"",OFFSET('Smelter Reference List'!$F$4,$S146-4,0)))</f>
        <v>CFSI</v>
      </c>
      <c r="H146" s="293">
        <f ca="1">IF(ISERROR($S146),"",OFFSET('Smelter Reference List'!$G$4,$S146-4,0))</f>
        <v>0</v>
      </c>
      <c r="I146" s="294" t="str">
        <f ca="1">IF(ISERROR($S146),"",OFFSET('Smelter Reference List'!$H$4,$S146-4,0))</f>
        <v>Mentok</v>
      </c>
      <c r="J146" s="294" t="str">
        <f ca="1">IF(ISERROR($S146),"",OFFSET('Smelter Reference List'!$I$4,$S146-4,0))</f>
        <v>Bangka</v>
      </c>
      <c r="K146" s="295"/>
      <c r="L146" s="295"/>
      <c r="M146" s="295"/>
      <c r="N146" s="295"/>
      <c r="O146" s="295"/>
      <c r="P146" s="295"/>
      <c r="Q146" s="296"/>
      <c r="R146" s="227"/>
      <c r="S146" s="228">
        <f ca="1">IF(C146="",NA(),MATCH($B146&amp;$C146,'Smelter Reference List'!$J:$J,0))</f>
        <v>430</v>
      </c>
      <c r="T146" s="229"/>
      <c r="U146" s="229">
        <f t="shared" ca="1" si="6"/>
        <v>0</v>
      </c>
      <c r="V146" s="229"/>
      <c r="W146" s="229"/>
      <c r="Y146" s="223" t="str">
        <f t="shared" ca="1" si="7"/>
        <v>TinPT Timah (Persero) Tbk Mentok</v>
      </c>
    </row>
    <row r="147" spans="1:25" s="223" customFormat="1" ht="20.25">
      <c r="A147" s="291" t="s">
        <v>1376</v>
      </c>
      <c r="B147" s="292" t="str">
        <f ca="1">IF(LEN(A147)=0,"",INDEX('Smelter Reference List'!$A:$A,MATCH($A147,'Smelter Reference List'!$E:$E,0)))</f>
        <v>Tin</v>
      </c>
      <c r="C147" s="298" t="str">
        <f ca="1">IF(LEN(A147)=0,"",INDEX('Smelter Reference List'!$C:$C,MATCH($A147,'Smelter Reference List'!$E:$E,0)))</f>
        <v>PT Tinindo Inter Nusa</v>
      </c>
      <c r="D147" s="292" t="str">
        <f ca="1">IF(ISERROR($S147),"",OFFSET('Smelter Reference List'!$C$4,$S147-4,0)&amp;"")</f>
        <v>PT Tinindo Inter Nusa</v>
      </c>
      <c r="E147" s="292" t="str">
        <f ca="1">IF(ISERROR($S147),"",OFFSET('Smelter Reference List'!$D$4,$S147-4,0)&amp;"")</f>
        <v>INDONESIA</v>
      </c>
      <c r="F147" s="292" t="str">
        <f ca="1">IF(ISERROR($S147),"",OFFSET('Smelter Reference List'!$E$4,$S147-4,0))</f>
        <v>CID001490</v>
      </c>
      <c r="G147" s="292" t="str">
        <f ca="1">IF(C147=$U$4,"Enter smelter details", IF(ISERROR($S147),"",OFFSET('Smelter Reference List'!$F$4,$S147-4,0)))</f>
        <v>CFSI</v>
      </c>
      <c r="H147" s="293">
        <f ca="1">IF(ISERROR($S147),"",OFFSET('Smelter Reference List'!$G$4,$S147-4,0))</f>
        <v>0</v>
      </c>
      <c r="I147" s="294" t="str">
        <f ca="1">IF(ISERROR($S147),"",OFFSET('Smelter Reference List'!$H$4,$S147-4,0))</f>
        <v>Pangkal Pinang</v>
      </c>
      <c r="J147" s="294" t="str">
        <f ca="1">IF(ISERROR($S147),"",OFFSET('Smelter Reference List'!$I$4,$S147-4,0))</f>
        <v>Bangka</v>
      </c>
      <c r="K147" s="295"/>
      <c r="L147" s="295"/>
      <c r="M147" s="295"/>
      <c r="N147" s="295"/>
      <c r="O147" s="295"/>
      <c r="P147" s="295"/>
      <c r="Q147" s="296"/>
      <c r="R147" s="227"/>
      <c r="S147" s="228">
        <f ca="1">IF(C147="",NA(),MATCH($B147&amp;$C147,'Smelter Reference List'!$J:$J,0))</f>
        <v>431</v>
      </c>
      <c r="T147" s="229"/>
      <c r="U147" s="229">
        <f t="shared" ca="1" si="6"/>
        <v>0</v>
      </c>
      <c r="V147" s="229"/>
      <c r="W147" s="229"/>
      <c r="Y147" s="223" t="str">
        <f t="shared" ca="1" si="7"/>
        <v>TinPT Tinindo Inter Nusa</v>
      </c>
    </row>
    <row r="148" spans="1:25" s="223" customFormat="1" ht="20.25">
      <c r="A148" s="291" t="s">
        <v>4214</v>
      </c>
      <c r="B148" s="292" t="str">
        <f ca="1">IF(LEN(A148)=0,"",INDEX('Smelter Reference List'!$A:$A,MATCH($A148,'Smelter Reference List'!$E:$E,0)))</f>
        <v>Tin</v>
      </c>
      <c r="C148" s="298" t="str">
        <f ca="1">IF(LEN(A148)=0,"",INDEX('Smelter Reference List'!$C:$C,MATCH($A148,'Smelter Reference List'!$E:$E,0)))</f>
        <v>PT Tommy Utama</v>
      </c>
      <c r="D148" s="292" t="str">
        <f ca="1">IF(ISERROR($S148),"",OFFSET('Smelter Reference List'!$C$4,$S148-4,0)&amp;"")</f>
        <v>PT Tommy Utama</v>
      </c>
      <c r="E148" s="292" t="str">
        <f ca="1">IF(ISERROR($S148),"",OFFSET('Smelter Reference List'!$D$4,$S148-4,0)&amp;"")</f>
        <v>INDONESIA</v>
      </c>
      <c r="F148" s="292" t="str">
        <f ca="1">IF(ISERROR($S148),"",OFFSET('Smelter Reference List'!$E$4,$S148-4,0))</f>
        <v>CID001493</v>
      </c>
      <c r="G148" s="292" t="str">
        <f ca="1">IF(C148=$U$4,"Enter smelter details", IF(ISERROR($S148),"",OFFSET('Smelter Reference List'!$F$4,$S148-4,0)))</f>
        <v>CFSI</v>
      </c>
      <c r="H148" s="293">
        <f ca="1">IF(ISERROR($S148),"",OFFSET('Smelter Reference List'!$G$4,$S148-4,0))</f>
        <v>0</v>
      </c>
      <c r="I148" s="294" t="str">
        <f ca="1">IF(ISERROR($S148),"",OFFSET('Smelter Reference List'!$H$4,$S148-4,0))</f>
        <v>Sumping Desa Batu Peyu</v>
      </c>
      <c r="J148" s="294" t="str">
        <f ca="1">IF(ISERROR($S148),"",OFFSET('Smelter Reference List'!$I$4,$S148-4,0))</f>
        <v>Belitung</v>
      </c>
      <c r="K148" s="295"/>
      <c r="L148" s="295"/>
      <c r="M148" s="295"/>
      <c r="N148" s="295"/>
      <c r="O148" s="295"/>
      <c r="P148" s="295"/>
      <c r="Q148" s="296"/>
      <c r="R148" s="227"/>
      <c r="S148" s="228">
        <f ca="1">IF(C148="",NA(),MATCH($B148&amp;$C148,'Smelter Reference List'!$J:$J,0))</f>
        <v>433</v>
      </c>
      <c r="T148" s="229"/>
      <c r="U148" s="229">
        <f t="shared" ca="1" si="6"/>
        <v>0</v>
      </c>
      <c r="V148" s="229"/>
      <c r="W148" s="229"/>
      <c r="Y148" s="223" t="str">
        <f t="shared" ca="1" si="7"/>
        <v>TinPT Tommy Utama</v>
      </c>
    </row>
    <row r="149" spans="1:25" s="223" customFormat="1" ht="20.25">
      <c r="A149" s="291" t="s">
        <v>1286</v>
      </c>
      <c r="B149" s="292" t="str">
        <f ca="1">IF(LEN(A149)=0,"",INDEX('Smelter Reference List'!$A:$A,MATCH($A149,'Smelter Reference List'!$E:$E,0)))</f>
        <v>Gold</v>
      </c>
      <c r="C149" s="298" t="str">
        <f ca="1">IF(LEN(A149)=0,"",INDEX('Smelter Reference List'!$C:$C,MATCH($A149,'Smelter Reference List'!$E:$E,0)))</f>
        <v>PX Précinox S.A.</v>
      </c>
      <c r="D149" s="292" t="str">
        <f ca="1">IF(ISERROR($S149),"",OFFSET('Smelter Reference List'!$C$4,$S149-4,0)&amp;"")</f>
        <v>PX Précinox S.A.</v>
      </c>
      <c r="E149" s="292" t="str">
        <f ca="1">IF(ISERROR($S149),"",OFFSET('Smelter Reference List'!$D$4,$S149-4,0)&amp;"")</f>
        <v>SWITZERLAND</v>
      </c>
      <c r="F149" s="292" t="str">
        <f ca="1">IF(ISERROR($S149),"",OFFSET('Smelter Reference List'!$E$4,$S149-4,0))</f>
        <v>CID001498</v>
      </c>
      <c r="G149" s="292" t="str">
        <f ca="1">IF(C149=$U$4,"Enter smelter details", IF(ISERROR($S149),"",OFFSET('Smelter Reference List'!$F$4,$S149-4,0)))</f>
        <v>CFSI</v>
      </c>
      <c r="H149" s="293">
        <f ca="1">IF(ISERROR($S149),"",OFFSET('Smelter Reference List'!$G$4,$S149-4,0))</f>
        <v>0</v>
      </c>
      <c r="I149" s="294" t="str">
        <f ca="1">IF(ISERROR($S149),"",OFFSET('Smelter Reference List'!$H$4,$S149-4,0))</f>
        <v>La Chaux-de-Fonds</v>
      </c>
      <c r="J149" s="294" t="str">
        <f ca="1">IF(ISERROR($S149),"",OFFSET('Smelter Reference List'!$I$4,$S149-4,0))</f>
        <v>Neuchâtel</v>
      </c>
      <c r="K149" s="295"/>
      <c r="L149" s="295"/>
      <c r="M149" s="295"/>
      <c r="N149" s="295"/>
      <c r="O149" s="295"/>
      <c r="P149" s="295"/>
      <c r="Q149" s="296"/>
      <c r="R149" s="227"/>
      <c r="S149" s="228">
        <f ca="1">IF(C149="",NA(),MATCH($B149&amp;$C149,'Smelter Reference List'!$J:$J,0))</f>
        <v>157</v>
      </c>
      <c r="T149" s="229"/>
      <c r="U149" s="229">
        <f t="shared" ca="1" si="6"/>
        <v>0</v>
      </c>
      <c r="V149" s="229"/>
      <c r="W149" s="229"/>
      <c r="Y149" s="223" t="str">
        <f t="shared" ca="1" si="7"/>
        <v>GoldPX Précinox S.A.</v>
      </c>
    </row>
    <row r="150" spans="1:25" s="223" customFormat="1" ht="20.25">
      <c r="A150" s="291" t="s">
        <v>1332</v>
      </c>
      <c r="B150" s="292" t="str">
        <f ca="1">IF(LEN(A150)=0,"",INDEX('Smelter Reference List'!$A:$A,MATCH($A150,'Smelter Reference List'!$E:$E,0)))</f>
        <v>Tantalum</v>
      </c>
      <c r="C150" s="298" t="str">
        <f ca="1">IF(LEN(A150)=0,"",INDEX('Smelter Reference List'!$C:$C,MATCH($A150,'Smelter Reference List'!$E:$E,0)))</f>
        <v>QuantumClean</v>
      </c>
      <c r="D150" s="292" t="str">
        <f ca="1">IF(ISERROR($S150),"",OFFSET('Smelter Reference List'!$C$4,$S150-4,0)&amp;"")</f>
        <v>QuantumClean</v>
      </c>
      <c r="E150" s="292" t="str">
        <f ca="1">IF(ISERROR($S150),"",OFFSET('Smelter Reference List'!$D$4,$S150-4,0)&amp;"")</f>
        <v>UNITED STATES OF AMERICA</v>
      </c>
      <c r="F150" s="292" t="str">
        <f ca="1">IF(ISERROR($S150),"",OFFSET('Smelter Reference List'!$E$4,$S150-4,0))</f>
        <v>CID001508</v>
      </c>
      <c r="G150" s="292" t="str">
        <f ca="1">IF(C150=$U$4,"Enter smelter details", IF(ISERROR($S150),"",OFFSET('Smelter Reference List'!$F$4,$S150-4,0)))</f>
        <v>CFSI</v>
      </c>
      <c r="H150" s="293">
        <f ca="1">IF(ISERROR($S150),"",OFFSET('Smelter Reference List'!$G$4,$S150-4,0))</f>
        <v>0</v>
      </c>
      <c r="I150" s="294" t="str">
        <f ca="1">IF(ISERROR($S150),"",OFFSET('Smelter Reference List'!$H$4,$S150-4,0))</f>
        <v>Fremont</v>
      </c>
      <c r="J150" s="294" t="str">
        <f ca="1">IF(ISERROR($S150),"",OFFSET('Smelter Reference List'!$I$4,$S150-4,0))</f>
        <v>California</v>
      </c>
      <c r="K150" s="295"/>
      <c r="L150" s="295"/>
      <c r="M150" s="295"/>
      <c r="N150" s="295"/>
      <c r="O150" s="295"/>
      <c r="P150" s="295"/>
      <c r="Q150" s="296"/>
      <c r="R150" s="227"/>
      <c r="S150" s="228">
        <f ca="1">IF(C150="",NA(),MATCH($B150&amp;$C150,'Smelter Reference List'!$J:$J,0))</f>
        <v>288</v>
      </c>
      <c r="T150" s="229"/>
      <c r="U150" s="229">
        <f t="shared" ca="1" si="6"/>
        <v>0</v>
      </c>
      <c r="V150" s="229"/>
      <c r="W150" s="229"/>
      <c r="Y150" s="223" t="str">
        <f t="shared" ca="1" si="7"/>
        <v>TantalumQuantumClean</v>
      </c>
    </row>
    <row r="151" spans="1:25" s="223" customFormat="1" ht="20.25">
      <c r="A151" s="291" t="s">
        <v>1287</v>
      </c>
      <c r="B151" s="292" t="str">
        <f ca="1">IF(LEN(A151)=0,"",INDEX('Smelter Reference List'!$A:$A,MATCH($A151,'Smelter Reference List'!$E:$E,0)))</f>
        <v>Gold</v>
      </c>
      <c r="C151" s="298" t="str">
        <f ca="1">IF(LEN(A151)=0,"",INDEX('Smelter Reference List'!$C:$C,MATCH($A151,'Smelter Reference List'!$E:$E,0)))</f>
        <v>Rand Refinery (Pty) Ltd.</v>
      </c>
      <c r="D151" s="292" t="str">
        <f ca="1">IF(ISERROR($S151),"",OFFSET('Smelter Reference List'!$C$4,$S151-4,0)&amp;"")</f>
        <v>Rand Refinery (Pty) Ltd.</v>
      </c>
      <c r="E151" s="292" t="str">
        <f ca="1">IF(ISERROR($S151),"",OFFSET('Smelter Reference List'!$D$4,$S151-4,0)&amp;"")</f>
        <v>SOUTH AFRICA</v>
      </c>
      <c r="F151" s="292" t="str">
        <f ca="1">IF(ISERROR($S151),"",OFFSET('Smelter Reference List'!$E$4,$S151-4,0))</f>
        <v>CID001512</v>
      </c>
      <c r="G151" s="292" t="str">
        <f ca="1">IF(C151=$U$4,"Enter smelter details", IF(ISERROR($S151),"",OFFSET('Smelter Reference List'!$F$4,$S151-4,0)))</f>
        <v>CFSI</v>
      </c>
      <c r="H151" s="293">
        <f ca="1">IF(ISERROR($S151),"",OFFSET('Smelter Reference List'!$G$4,$S151-4,0))</f>
        <v>0</v>
      </c>
      <c r="I151" s="294" t="str">
        <f ca="1">IF(ISERROR($S151),"",OFFSET('Smelter Reference List'!$H$4,$S151-4,0))</f>
        <v>Germiston</v>
      </c>
      <c r="J151" s="294" t="str">
        <f ca="1">IF(ISERROR($S151),"",OFFSET('Smelter Reference List'!$I$4,$S151-4,0))</f>
        <v>Gauteng</v>
      </c>
      <c r="K151" s="295"/>
      <c r="L151" s="295"/>
      <c r="M151" s="295"/>
      <c r="N151" s="295"/>
      <c r="O151" s="295"/>
      <c r="P151" s="295"/>
      <c r="Q151" s="296"/>
      <c r="R151" s="227"/>
      <c r="S151" s="228">
        <f ca="1">IF(C151="",NA(),MATCH($B151&amp;$C151,'Smelter Reference List'!$J:$J,0))</f>
        <v>158</v>
      </c>
      <c r="T151" s="229"/>
      <c r="U151" s="229">
        <f t="shared" ca="1" si="6"/>
        <v>0</v>
      </c>
      <c r="V151" s="229"/>
      <c r="W151" s="229"/>
      <c r="Y151" s="223" t="str">
        <f t="shared" ca="1" si="7"/>
        <v>GoldRand Refinery (Pty) Ltd.</v>
      </c>
    </row>
    <row r="152" spans="1:25" s="223" customFormat="1" ht="20.25">
      <c r="A152" s="291" t="s">
        <v>1333</v>
      </c>
      <c r="B152" s="292" t="str">
        <f ca="1">IF(LEN(A152)=0,"",INDEX('Smelter Reference List'!$A:$A,MATCH($A152,'Smelter Reference List'!$E:$E,0)))</f>
        <v>Tantalum</v>
      </c>
      <c r="C152" s="298" t="str">
        <f ca="1">IF(LEN(A152)=0,"",INDEX('Smelter Reference List'!$C:$C,MATCH($A152,'Smelter Reference List'!$E:$E,0)))</f>
        <v>RFH Tantalum Smeltry Co., Ltd.</v>
      </c>
      <c r="D152" s="292" t="str">
        <f ca="1">IF(ISERROR($S152),"",OFFSET('Smelter Reference List'!$C$4,$S152-4,0)&amp;"")</f>
        <v>RFH Tantalum Smeltry Co., Ltd.</v>
      </c>
      <c r="E152" s="292" t="str">
        <f ca="1">IF(ISERROR($S152),"",OFFSET('Smelter Reference List'!$D$4,$S152-4,0)&amp;"")</f>
        <v>CHINA</v>
      </c>
      <c r="F152" s="292" t="str">
        <f ca="1">IF(ISERROR($S152),"",OFFSET('Smelter Reference List'!$E$4,$S152-4,0))</f>
        <v>CID001522</v>
      </c>
      <c r="G152" s="292" t="str">
        <f ca="1">IF(C152=$U$4,"Enter smelter details", IF(ISERROR($S152),"",OFFSET('Smelter Reference List'!$F$4,$S152-4,0)))</f>
        <v>CFSI</v>
      </c>
      <c r="H152" s="293">
        <f ca="1">IF(ISERROR($S152),"",OFFSET('Smelter Reference List'!$G$4,$S152-4,0))</f>
        <v>0</v>
      </c>
      <c r="I152" s="294" t="str">
        <f ca="1">IF(ISERROR($S152),"",OFFSET('Smelter Reference List'!$H$4,$S152-4,0))</f>
        <v>Zhuzhou</v>
      </c>
      <c r="J152" s="294" t="str">
        <f ca="1">IF(ISERROR($S152),"",OFFSET('Smelter Reference List'!$I$4,$S152-4,0))</f>
        <v>Hunan</v>
      </c>
      <c r="K152" s="295"/>
      <c r="L152" s="295"/>
      <c r="M152" s="295"/>
      <c r="N152" s="295"/>
      <c r="O152" s="295"/>
      <c r="P152" s="295"/>
      <c r="Q152" s="296"/>
      <c r="R152" s="227"/>
      <c r="S152" s="228">
        <f ca="1">IF(C152="",NA(),MATCH($B152&amp;$C152,'Smelter Reference List'!$J:$J,0))</f>
        <v>292</v>
      </c>
      <c r="T152" s="229"/>
      <c r="U152" s="229">
        <f t="shared" ca="1" si="6"/>
        <v>0</v>
      </c>
      <c r="V152" s="229"/>
      <c r="W152" s="229"/>
      <c r="Y152" s="223" t="str">
        <f t="shared" ca="1" si="7"/>
        <v>TantalumRFH Tantalum Smeltry Co., Ltd.</v>
      </c>
    </row>
    <row r="153" spans="1:25" s="223" customFormat="1" ht="20.25">
      <c r="A153" s="291" t="s">
        <v>1288</v>
      </c>
      <c r="B153" s="292" t="str">
        <f ca="1">IF(LEN(A153)=0,"",INDEX('Smelter Reference List'!$A:$A,MATCH($A153,'Smelter Reference List'!$E:$E,0)))</f>
        <v>Gold</v>
      </c>
      <c r="C153" s="298" t="str">
        <f ca="1">IF(LEN(A153)=0,"",INDEX('Smelter Reference List'!$C:$C,MATCH($A153,'Smelter Reference List'!$E:$E,0)))</f>
        <v>Royal Canadian Mint</v>
      </c>
      <c r="D153" s="292" t="str">
        <f ca="1">IF(ISERROR($S153),"",OFFSET('Smelter Reference List'!$C$4,$S153-4,0)&amp;"")</f>
        <v>Royal Canadian Mint</v>
      </c>
      <c r="E153" s="292" t="str">
        <f ca="1">IF(ISERROR($S153),"",OFFSET('Smelter Reference List'!$D$4,$S153-4,0)&amp;"")</f>
        <v>CANADA</v>
      </c>
      <c r="F153" s="292" t="str">
        <f ca="1">IF(ISERROR($S153),"",OFFSET('Smelter Reference List'!$E$4,$S153-4,0))</f>
        <v>CID001534</v>
      </c>
      <c r="G153" s="292" t="str">
        <f ca="1">IF(C153=$U$4,"Enter smelter details", IF(ISERROR($S153),"",OFFSET('Smelter Reference List'!$F$4,$S153-4,0)))</f>
        <v>CFSI</v>
      </c>
      <c r="H153" s="293">
        <f ca="1">IF(ISERROR($S153),"",OFFSET('Smelter Reference List'!$G$4,$S153-4,0))</f>
        <v>0</v>
      </c>
      <c r="I153" s="294" t="str">
        <f ca="1">IF(ISERROR($S153),"",OFFSET('Smelter Reference List'!$H$4,$S153-4,0))</f>
        <v>Ottawa</v>
      </c>
      <c r="J153" s="294" t="str">
        <f ca="1">IF(ISERROR($S153),"",OFFSET('Smelter Reference List'!$I$4,$S153-4,0))</f>
        <v>Ontario</v>
      </c>
      <c r="K153" s="295"/>
      <c r="L153" s="295"/>
      <c r="M153" s="295"/>
      <c r="N153" s="295"/>
      <c r="O153" s="295"/>
      <c r="P153" s="295"/>
      <c r="Q153" s="296"/>
      <c r="R153" s="227"/>
      <c r="S153" s="228">
        <f ca="1">IF(C153="",NA(),MATCH($B153&amp;$C153,'Smelter Reference List'!$J:$J,0))</f>
        <v>162</v>
      </c>
      <c r="T153" s="229"/>
      <c r="U153" s="229">
        <f t="shared" ca="1" si="6"/>
        <v>0</v>
      </c>
      <c r="V153" s="229"/>
      <c r="W153" s="229"/>
      <c r="Y153" s="223" t="str">
        <f t="shared" ca="1" si="7"/>
        <v>GoldRoyal Canadian Mint</v>
      </c>
    </row>
    <row r="154" spans="1:25" s="223" customFormat="1" ht="20.25">
      <c r="A154" s="291" t="s">
        <v>1378</v>
      </c>
      <c r="B154" s="292" t="str">
        <f ca="1">IF(LEN(A154)=0,"",INDEX('Smelter Reference List'!$A:$A,MATCH($A154,'Smelter Reference List'!$E:$E,0)))</f>
        <v>Tin</v>
      </c>
      <c r="C154" s="298" t="str">
        <f ca="1">IF(LEN(A154)=0,"",INDEX('Smelter Reference List'!$C:$C,MATCH($A154,'Smelter Reference List'!$E:$E,0)))</f>
        <v>Rui Da Hung</v>
      </c>
      <c r="D154" s="292" t="str">
        <f ca="1">IF(ISERROR($S154),"",OFFSET('Smelter Reference List'!$C$4,$S154-4,0)&amp;"")</f>
        <v>Rui Da Hung</v>
      </c>
      <c r="E154" s="292" t="str">
        <f ca="1">IF(ISERROR($S154),"",OFFSET('Smelter Reference List'!$D$4,$S154-4,0)&amp;"")</f>
        <v>TAIWAN, PROVINCE OF CHINA</v>
      </c>
      <c r="F154" s="292" t="str">
        <f ca="1">IF(ISERROR($S154),"",OFFSET('Smelter Reference List'!$E$4,$S154-4,0))</f>
        <v>CID001539</v>
      </c>
      <c r="G154" s="292" t="str">
        <f ca="1">IF(C154=$U$4,"Enter smelter details", IF(ISERROR($S154),"",OFFSET('Smelter Reference List'!$F$4,$S154-4,0)))</f>
        <v>CFSI</v>
      </c>
      <c r="H154" s="293">
        <f ca="1">IF(ISERROR($S154),"",OFFSET('Smelter Reference List'!$G$4,$S154-4,0))</f>
        <v>0</v>
      </c>
      <c r="I154" s="294" t="str">
        <f ca="1">IF(ISERROR($S154),"",OFFSET('Smelter Reference List'!$H$4,$S154-4,0))</f>
        <v>Longtan Shiang Taoyuang</v>
      </c>
      <c r="J154" s="294" t="str">
        <f ca="1">IF(ISERROR($S154),"",OFFSET('Smelter Reference List'!$I$4,$S154-4,0))</f>
        <v>Taiwan</v>
      </c>
      <c r="K154" s="295"/>
      <c r="L154" s="295"/>
      <c r="M154" s="295"/>
      <c r="N154" s="295"/>
      <c r="O154" s="295"/>
      <c r="P154" s="295"/>
      <c r="Q154" s="296"/>
      <c r="R154" s="227"/>
      <c r="S154" s="228">
        <f ca="1">IF(C154="",NA(),MATCH($B154&amp;$C154,'Smelter Reference List'!$J:$J,0))</f>
        <v>436</v>
      </c>
      <c r="T154" s="229"/>
      <c r="U154" s="229">
        <f t="shared" ca="1" si="6"/>
        <v>0</v>
      </c>
      <c r="V154" s="229"/>
      <c r="W154" s="229"/>
      <c r="Y154" s="223" t="str">
        <f t="shared" ca="1" si="7"/>
        <v>TinRui Da Hung</v>
      </c>
    </row>
    <row r="155" spans="1:25" s="223" customFormat="1" ht="20.25">
      <c r="A155" s="291" t="s">
        <v>1289</v>
      </c>
      <c r="B155" s="292" t="str">
        <f ca="1">IF(LEN(A155)=0,"",INDEX('Smelter Reference List'!$A:$A,MATCH($A155,'Smelter Reference List'!$E:$E,0)))</f>
        <v>Gold</v>
      </c>
      <c r="C155" s="298" t="str">
        <f ca="1">IF(LEN(A155)=0,"",INDEX('Smelter Reference List'!$C:$C,MATCH($A155,'Smelter Reference List'!$E:$E,0)))</f>
        <v>Sabin Metal Corp.</v>
      </c>
      <c r="D155" s="292" t="str">
        <f ca="1">IF(ISERROR($S155),"",OFFSET('Smelter Reference List'!$C$4,$S155-4,0)&amp;"")</f>
        <v>Sabin Metal Corp.</v>
      </c>
      <c r="E155" s="292" t="str">
        <f ca="1">IF(ISERROR($S155),"",OFFSET('Smelter Reference List'!$D$4,$S155-4,0)&amp;"")</f>
        <v>UNITED STATES OF AMERICA</v>
      </c>
      <c r="F155" s="292" t="str">
        <f ca="1">IF(ISERROR($S155),"",OFFSET('Smelter Reference List'!$E$4,$S155-4,0))</f>
        <v>CID001546</v>
      </c>
      <c r="G155" s="292" t="str">
        <f ca="1">IF(C155=$U$4,"Enter smelter details", IF(ISERROR($S155),"",OFFSET('Smelter Reference List'!$F$4,$S155-4,0)))</f>
        <v>CFSI</v>
      </c>
      <c r="H155" s="293">
        <f ca="1">IF(ISERROR($S155),"",OFFSET('Smelter Reference List'!$G$4,$S155-4,0))</f>
        <v>0</v>
      </c>
      <c r="I155" s="294" t="str">
        <f ca="1">IF(ISERROR($S155),"",OFFSET('Smelter Reference List'!$H$4,$S155-4,0))</f>
        <v>Williston</v>
      </c>
      <c r="J155" s="294" t="str">
        <f ca="1">IF(ISERROR($S155),"",OFFSET('Smelter Reference List'!$I$4,$S155-4,0))</f>
        <v>North Dakota</v>
      </c>
      <c r="K155" s="295"/>
      <c r="L155" s="295"/>
      <c r="M155" s="295"/>
      <c r="N155" s="295"/>
      <c r="O155" s="295"/>
      <c r="P155" s="295"/>
      <c r="Q155" s="296"/>
      <c r="R155" s="227"/>
      <c r="S155" s="228">
        <f ca="1">IF(C155="",NA(),MATCH($B155&amp;$C155,'Smelter Reference List'!$J:$J,0))</f>
        <v>164</v>
      </c>
      <c r="T155" s="229"/>
      <c r="U155" s="229">
        <f t="shared" ca="1" si="6"/>
        <v>0</v>
      </c>
      <c r="V155" s="229"/>
      <c r="W155" s="229"/>
      <c r="Y155" s="223" t="str">
        <f t="shared" ca="1" si="7"/>
        <v>GoldSabin Metal Corp.</v>
      </c>
    </row>
    <row r="156" spans="1:25" s="223" customFormat="1" ht="20.25">
      <c r="A156" s="291" t="s">
        <v>1290</v>
      </c>
      <c r="B156" s="292" t="str">
        <f ca="1">IF(LEN(A156)=0,"",INDEX('Smelter Reference List'!$A:$A,MATCH($A156,'Smelter Reference List'!$E:$E,0)))</f>
        <v>Gold</v>
      </c>
      <c r="C156" s="298" t="str">
        <f ca="1">IF(LEN(A156)=0,"",INDEX('Smelter Reference List'!$C:$C,MATCH($A156,'Smelter Reference List'!$E:$E,0)))</f>
        <v>Samwon Metals Corp.</v>
      </c>
      <c r="D156" s="292" t="str">
        <f ca="1">IF(ISERROR($S156),"",OFFSET('Smelter Reference List'!$C$4,$S156-4,0)&amp;"")</f>
        <v>Samwon Metals Corp.</v>
      </c>
      <c r="E156" s="292" t="str">
        <f ca="1">IF(ISERROR($S156),"",OFFSET('Smelter Reference List'!$D$4,$S156-4,0)&amp;"")</f>
        <v>KOREA (REPUBLIC OF)</v>
      </c>
      <c r="F156" s="292" t="str">
        <f ca="1">IF(ISERROR($S156),"",OFFSET('Smelter Reference List'!$E$4,$S156-4,0))</f>
        <v>CID001562</v>
      </c>
      <c r="G156" s="292" t="str">
        <f ca="1">IF(C156=$U$4,"Enter smelter details", IF(ISERROR($S156),"",OFFSET('Smelter Reference List'!$F$4,$S156-4,0)))</f>
        <v>CFSI</v>
      </c>
      <c r="H156" s="293">
        <f ca="1">IF(ISERROR($S156),"",OFFSET('Smelter Reference List'!$G$4,$S156-4,0))</f>
        <v>0</v>
      </c>
      <c r="I156" s="294" t="str">
        <f ca="1">IF(ISERROR($S156),"",OFFSET('Smelter Reference List'!$H$4,$S156-4,0))</f>
        <v>Changwon</v>
      </c>
      <c r="J156" s="294" t="str">
        <f ca="1">IF(ISERROR($S156),"",OFFSET('Smelter Reference List'!$I$4,$S156-4,0))</f>
        <v>Gyeongsangnam</v>
      </c>
      <c r="K156" s="295"/>
      <c r="L156" s="295"/>
      <c r="M156" s="295"/>
      <c r="N156" s="295"/>
      <c r="O156" s="295"/>
      <c r="P156" s="295"/>
      <c r="Q156" s="296"/>
      <c r="R156" s="227"/>
      <c r="S156" s="228">
        <f ca="1">IF(C156="",NA(),MATCH($B156&amp;$C156,'Smelter Reference List'!$J:$J,0))</f>
        <v>170</v>
      </c>
      <c r="T156" s="229"/>
      <c r="U156" s="229">
        <f t="shared" ca="1" si="6"/>
        <v>0</v>
      </c>
      <c r="V156" s="229"/>
      <c r="W156" s="229"/>
      <c r="Y156" s="223" t="str">
        <f t="shared" ca="1" si="7"/>
        <v>GoldSamwon Metals Corp.</v>
      </c>
    </row>
    <row r="157" spans="1:25" s="223" customFormat="1" ht="20.25">
      <c r="A157" s="291" t="s">
        <v>1291</v>
      </c>
      <c r="B157" s="292" t="str">
        <f ca="1">IF(LEN(A157)=0,"",INDEX('Smelter Reference List'!$A:$A,MATCH($A157,'Smelter Reference List'!$E:$E,0)))</f>
        <v>Gold</v>
      </c>
      <c r="C157" s="298" t="str">
        <f ca="1">IF(LEN(A157)=0,"",INDEX('Smelter Reference List'!$C:$C,MATCH($A157,'Smelter Reference List'!$E:$E,0)))</f>
        <v>Schone Edelmetaal B.V.</v>
      </c>
      <c r="D157" s="292" t="str">
        <f ca="1">IF(ISERROR($S157),"",OFFSET('Smelter Reference List'!$C$4,$S157-4,0)&amp;"")</f>
        <v>Schone Edelmetaal B.V.</v>
      </c>
      <c r="E157" s="292" t="str">
        <f ca="1">IF(ISERROR($S157),"",OFFSET('Smelter Reference List'!$D$4,$S157-4,0)&amp;"")</f>
        <v>NETHERLANDS</v>
      </c>
      <c r="F157" s="292" t="str">
        <f ca="1">IF(ISERROR($S157),"",OFFSET('Smelter Reference List'!$E$4,$S157-4,0))</f>
        <v>CID001573</v>
      </c>
      <c r="G157" s="292" t="str">
        <f ca="1">IF(C157=$U$4,"Enter smelter details", IF(ISERROR($S157),"",OFFSET('Smelter Reference List'!$F$4,$S157-4,0)))</f>
        <v>CFSI</v>
      </c>
      <c r="H157" s="293">
        <f ca="1">IF(ISERROR($S157),"",OFFSET('Smelter Reference List'!$G$4,$S157-4,0))</f>
        <v>0</v>
      </c>
      <c r="I157" s="294" t="str">
        <f ca="1">IF(ISERROR($S157),"",OFFSET('Smelter Reference List'!$H$4,$S157-4,0))</f>
        <v>Amsterdam</v>
      </c>
      <c r="J157" s="294" t="str">
        <f ca="1">IF(ISERROR($S157),"",OFFSET('Smelter Reference List'!$I$4,$S157-4,0))</f>
        <v>North Holland</v>
      </c>
      <c r="K157" s="295"/>
      <c r="L157" s="295"/>
      <c r="M157" s="295"/>
      <c r="N157" s="295"/>
      <c r="O157" s="295"/>
      <c r="P157" s="295"/>
      <c r="Q157" s="296"/>
      <c r="R157" s="227"/>
      <c r="S157" s="228">
        <f ca="1">IF(C157="",NA(),MATCH($B157&amp;$C157,'Smelter Reference List'!$J:$J,0))</f>
        <v>172</v>
      </c>
      <c r="T157" s="229"/>
      <c r="U157" s="229">
        <f t="shared" ca="1" si="6"/>
        <v>0</v>
      </c>
      <c r="V157" s="229"/>
      <c r="W157" s="229"/>
      <c r="Y157" s="223" t="str">
        <f t="shared" ca="1" si="7"/>
        <v>GoldSchone Edelmetaal B.V.</v>
      </c>
    </row>
    <row r="158" spans="1:25" s="223" customFormat="1" ht="20.25">
      <c r="A158" s="291" t="s">
        <v>1292</v>
      </c>
      <c r="B158" s="292" t="str">
        <f ca="1">IF(LEN(A158)=0,"",INDEX('Smelter Reference List'!$A:$A,MATCH($A158,'Smelter Reference List'!$E:$E,0)))</f>
        <v>Gold</v>
      </c>
      <c r="C158" s="298" t="str">
        <f ca="1">IF(LEN(A158)=0,"",INDEX('Smelter Reference List'!$C:$C,MATCH($A158,'Smelter Reference List'!$E:$E,0)))</f>
        <v>SEMPSA Joyería Platería S.A.</v>
      </c>
      <c r="D158" s="292" t="str">
        <f ca="1">IF(ISERROR($S158),"",OFFSET('Smelter Reference List'!$C$4,$S158-4,0)&amp;"")</f>
        <v>SEMPSA Joyería Platería S.A.</v>
      </c>
      <c r="E158" s="292" t="str">
        <f ca="1">IF(ISERROR($S158),"",OFFSET('Smelter Reference List'!$D$4,$S158-4,0)&amp;"")</f>
        <v>SPAIN</v>
      </c>
      <c r="F158" s="292" t="str">
        <f ca="1">IF(ISERROR($S158),"",OFFSET('Smelter Reference List'!$E$4,$S158-4,0))</f>
        <v>CID001585</v>
      </c>
      <c r="G158" s="292" t="str">
        <f ca="1">IF(C158=$U$4,"Enter smelter details", IF(ISERROR($S158),"",OFFSET('Smelter Reference List'!$F$4,$S158-4,0)))</f>
        <v>CFSI</v>
      </c>
      <c r="H158" s="293">
        <f ca="1">IF(ISERROR($S158),"",OFFSET('Smelter Reference List'!$G$4,$S158-4,0))</f>
        <v>0</v>
      </c>
      <c r="I158" s="294" t="str">
        <f ca="1">IF(ISERROR($S158),"",OFFSET('Smelter Reference List'!$H$4,$S158-4,0))</f>
        <v>Madrid</v>
      </c>
      <c r="J158" s="294" t="str">
        <f ca="1">IF(ISERROR($S158),"",OFFSET('Smelter Reference List'!$I$4,$S158-4,0))</f>
        <v>Community of Madrid</v>
      </c>
      <c r="K158" s="295"/>
      <c r="L158" s="295"/>
      <c r="M158" s="295"/>
      <c r="N158" s="295"/>
      <c r="O158" s="295"/>
      <c r="P158" s="295"/>
      <c r="Q158" s="296"/>
      <c r="R158" s="227"/>
      <c r="S158" s="228">
        <f ca="1">IF(C158="",NA(),MATCH($B158&amp;$C158,'Smelter Reference List'!$J:$J,0))</f>
        <v>174</v>
      </c>
      <c r="T158" s="229"/>
      <c r="U158" s="229">
        <f t="shared" ca="1" si="6"/>
        <v>0</v>
      </c>
      <c r="V158" s="229"/>
      <c r="W158" s="229"/>
      <c r="Y158" s="223" t="str">
        <f t="shared" ca="1" si="7"/>
        <v>GoldSEMPSA Joyería Platería S.A.</v>
      </c>
    </row>
    <row r="159" spans="1:25" s="223" customFormat="1" ht="20.25">
      <c r="A159" s="291" t="s">
        <v>1293</v>
      </c>
      <c r="B159" s="292" t="str">
        <f ca="1">IF(LEN(A159)=0,"",INDEX('Smelter Reference List'!$A:$A,MATCH($A159,'Smelter Reference List'!$E:$E,0)))</f>
        <v>Gold</v>
      </c>
      <c r="C159" s="298" t="str">
        <f ca="1">IF(LEN(A159)=0,"",INDEX('Smelter Reference List'!$C:$C,MATCH($A159,'Smelter Reference List'!$E:$E,0)))</f>
        <v>Shandong Zhaojin Gold &amp; Silver Refinery Co., Ltd.</v>
      </c>
      <c r="D159" s="292" t="str">
        <f ca="1">IF(ISERROR($S159),"",OFFSET('Smelter Reference List'!$C$4,$S159-4,0)&amp;"")</f>
        <v>Shandong Zhaojin Gold &amp; Silver Refinery Co., Ltd.</v>
      </c>
      <c r="E159" s="292" t="str">
        <f ca="1">IF(ISERROR($S159),"",OFFSET('Smelter Reference List'!$D$4,$S159-4,0)&amp;"")</f>
        <v>CHINA</v>
      </c>
      <c r="F159" s="292" t="str">
        <f ca="1">IF(ISERROR($S159),"",OFFSET('Smelter Reference List'!$E$4,$S159-4,0))</f>
        <v>CID001622</v>
      </c>
      <c r="G159" s="292" t="str">
        <f ca="1">IF(C159=$U$4,"Enter smelter details", IF(ISERROR($S159),"",OFFSET('Smelter Reference List'!$F$4,$S159-4,0)))</f>
        <v>CFSI</v>
      </c>
      <c r="H159" s="293">
        <f ca="1">IF(ISERROR($S159),"",OFFSET('Smelter Reference List'!$G$4,$S159-4,0))</f>
        <v>0</v>
      </c>
      <c r="I159" s="294" t="str">
        <f ca="1">IF(ISERROR($S159),"",OFFSET('Smelter Reference List'!$H$4,$S159-4,0))</f>
        <v>Zhaoyuan</v>
      </c>
      <c r="J159" s="294" t="str">
        <f ca="1">IF(ISERROR($S159),"",OFFSET('Smelter Reference List'!$I$4,$S159-4,0))</f>
        <v>Shandong</v>
      </c>
      <c r="K159" s="295"/>
      <c r="L159" s="295"/>
      <c r="M159" s="295"/>
      <c r="N159" s="295"/>
      <c r="O159" s="295"/>
      <c r="P159" s="295"/>
      <c r="Q159" s="296"/>
      <c r="R159" s="227"/>
      <c r="S159" s="228">
        <f ca="1">IF(C159="",NA(),MATCH($B159&amp;$C159,'Smelter Reference List'!$J:$J,0))</f>
        <v>180</v>
      </c>
      <c r="T159" s="229"/>
      <c r="U159" s="229">
        <f t="shared" ca="1" si="6"/>
        <v>0</v>
      </c>
      <c r="V159" s="229"/>
      <c r="W159" s="229"/>
      <c r="Y159" s="223" t="str">
        <f t="shared" ca="1" si="7"/>
        <v>GoldShandong Zhaojin Gold &amp; Silver Refinery Co., Ltd.</v>
      </c>
    </row>
    <row r="160" spans="1:25" s="223" customFormat="1" ht="20.25">
      <c r="A160" s="291" t="s">
        <v>2646</v>
      </c>
      <c r="B160" s="292" t="str">
        <f ca="1">IF(LEN(A160)=0,"",INDEX('Smelter Reference List'!$A:$A,MATCH($A160,'Smelter Reference List'!$E:$E,0)))</f>
        <v>Gold</v>
      </c>
      <c r="C160" s="298" t="str">
        <f ca="1">IF(LEN(A160)=0,"",INDEX('Smelter Reference List'!$C:$C,MATCH($A160,'Smelter Reference List'!$E:$E,0)))</f>
        <v>Sichuan Tianze Precious Metals Co., Ltd.</v>
      </c>
      <c r="D160" s="292" t="str">
        <f ca="1">IF(ISERROR($S160),"",OFFSET('Smelter Reference List'!$C$4,$S160-4,0)&amp;"")</f>
        <v>Sichuan Tianze Precious Metals Co., Ltd.</v>
      </c>
      <c r="E160" s="292" t="str">
        <f ca="1">IF(ISERROR($S160),"",OFFSET('Smelter Reference List'!$D$4,$S160-4,0)&amp;"")</f>
        <v>CHINA</v>
      </c>
      <c r="F160" s="292" t="str">
        <f ca="1">IF(ISERROR($S160),"",OFFSET('Smelter Reference List'!$E$4,$S160-4,0))</f>
        <v>CID001736</v>
      </c>
      <c r="G160" s="292" t="str">
        <f ca="1">IF(C160=$U$4,"Enter smelter details", IF(ISERROR($S160),"",OFFSET('Smelter Reference List'!$F$4,$S160-4,0)))</f>
        <v>CFSI</v>
      </c>
      <c r="H160" s="293">
        <f ca="1">IF(ISERROR($S160),"",OFFSET('Smelter Reference List'!$G$4,$S160-4,0))</f>
        <v>0</v>
      </c>
      <c r="I160" s="294" t="str">
        <f ca="1">IF(ISERROR($S160),"",OFFSET('Smelter Reference List'!$H$4,$S160-4,0))</f>
        <v>Chengdu</v>
      </c>
      <c r="J160" s="294" t="str">
        <f ca="1">IF(ISERROR($S160),"",OFFSET('Smelter Reference List'!$I$4,$S160-4,0))</f>
        <v>Sichuan</v>
      </c>
      <c r="K160" s="295"/>
      <c r="L160" s="295"/>
      <c r="M160" s="295"/>
      <c r="N160" s="295"/>
      <c r="O160" s="295"/>
      <c r="P160" s="295"/>
      <c r="Q160" s="296"/>
      <c r="R160" s="227"/>
      <c r="S160" s="228">
        <f ca="1">IF(C160="",NA(),MATCH($B160&amp;$C160,'Smelter Reference List'!$J:$J,0))</f>
        <v>183</v>
      </c>
      <c r="T160" s="229"/>
      <c r="U160" s="229">
        <f t="shared" ca="1" si="6"/>
        <v>0</v>
      </c>
      <c r="V160" s="229"/>
      <c r="W160" s="229"/>
      <c r="Y160" s="223" t="str">
        <f t="shared" ca="1" si="7"/>
        <v>GoldSichuan Tianze Precious Metals Co., Ltd.</v>
      </c>
    </row>
    <row r="161" spans="1:25" s="223" customFormat="1" ht="20.25">
      <c r="A161" s="291" t="s">
        <v>1295</v>
      </c>
      <c r="B161" s="292" t="str">
        <f ca="1">IF(LEN(A161)=0,"",INDEX('Smelter Reference List'!$A:$A,MATCH($A161,'Smelter Reference List'!$E:$E,0)))</f>
        <v>Gold</v>
      </c>
      <c r="C161" s="298" t="str">
        <f ca="1">IF(LEN(A161)=0,"",INDEX('Smelter Reference List'!$C:$C,MATCH($A161,'Smelter Reference List'!$E:$E,0)))</f>
        <v>So Accurate Group, Inc.</v>
      </c>
      <c r="D161" s="292" t="str">
        <f ca="1">IF(ISERROR($S161),"",OFFSET('Smelter Reference List'!$C$4,$S161-4,0)&amp;"")</f>
        <v>So Accurate Group, Inc.</v>
      </c>
      <c r="E161" s="292" t="str">
        <f ca="1">IF(ISERROR($S161),"",OFFSET('Smelter Reference List'!$D$4,$S161-4,0)&amp;"")</f>
        <v>UNITED STATES OF AMERICA</v>
      </c>
      <c r="F161" s="292" t="str">
        <f ca="1">IF(ISERROR($S161),"",OFFSET('Smelter Reference List'!$E$4,$S161-4,0))</f>
        <v>CID001754</v>
      </c>
      <c r="G161" s="292" t="str">
        <f ca="1">IF(C161=$U$4,"Enter smelter details", IF(ISERROR($S161),"",OFFSET('Smelter Reference List'!$F$4,$S161-4,0)))</f>
        <v>CFSI</v>
      </c>
      <c r="H161" s="293">
        <f ca="1">IF(ISERROR($S161),"",OFFSET('Smelter Reference List'!$G$4,$S161-4,0))</f>
        <v>0</v>
      </c>
      <c r="I161" s="294" t="str">
        <f ca="1">IF(ISERROR($S161),"",OFFSET('Smelter Reference List'!$H$4,$S161-4,0))</f>
        <v>Long Island City</v>
      </c>
      <c r="J161" s="294" t="str">
        <f ca="1">IF(ISERROR($S161),"",OFFSET('Smelter Reference List'!$I$4,$S161-4,0))</f>
        <v>New York</v>
      </c>
      <c r="K161" s="295"/>
      <c r="L161" s="295"/>
      <c r="M161" s="295"/>
      <c r="N161" s="295"/>
      <c r="O161" s="295"/>
      <c r="P161" s="295"/>
      <c r="Q161" s="296"/>
      <c r="R161" s="227"/>
      <c r="S161" s="228">
        <f ca="1">IF(C161="",NA(),MATCH($B161&amp;$C161,'Smelter Reference List'!$J:$J,0))</f>
        <v>187</v>
      </c>
      <c r="T161" s="229"/>
      <c r="U161" s="229">
        <f t="shared" ca="1" si="6"/>
        <v>0</v>
      </c>
      <c r="V161" s="229"/>
      <c r="W161" s="229"/>
      <c r="Y161" s="223" t="str">
        <f t="shared" ca="1" si="7"/>
        <v>GoldSo Accurate Group, Inc.</v>
      </c>
    </row>
    <row r="162" spans="1:25" s="223" customFormat="1" ht="20.25">
      <c r="A162" s="291" t="s">
        <v>1296</v>
      </c>
      <c r="B162" s="292" t="str">
        <f ca="1">IF(LEN(A162)=0,"",INDEX('Smelter Reference List'!$A:$A,MATCH($A162,'Smelter Reference List'!$E:$E,0)))</f>
        <v>Gold</v>
      </c>
      <c r="C162" s="298" t="str">
        <f ca="1">IF(LEN(A162)=0,"",INDEX('Smelter Reference List'!$C:$C,MATCH($A162,'Smelter Reference List'!$E:$E,0)))</f>
        <v>SOE Shyolkovsky Factory of Secondary Precious Metals</v>
      </c>
      <c r="D162" s="292" t="str">
        <f ca="1">IF(ISERROR($S162),"",OFFSET('Smelter Reference List'!$C$4,$S162-4,0)&amp;"")</f>
        <v>SOE Shyolkovsky Factory of Secondary Precious Metals</v>
      </c>
      <c r="E162" s="292" t="str">
        <f ca="1">IF(ISERROR($S162),"",OFFSET('Smelter Reference List'!$D$4,$S162-4,0)&amp;"")</f>
        <v>RUSSIAN FEDERATION</v>
      </c>
      <c r="F162" s="292" t="str">
        <f ca="1">IF(ISERROR($S162),"",OFFSET('Smelter Reference List'!$E$4,$S162-4,0))</f>
        <v>CID001756</v>
      </c>
      <c r="G162" s="292" t="str">
        <f ca="1">IF(C162=$U$4,"Enter smelter details", IF(ISERROR($S162),"",OFFSET('Smelter Reference List'!$F$4,$S162-4,0)))</f>
        <v>CFSI</v>
      </c>
      <c r="H162" s="293">
        <f ca="1">IF(ISERROR($S162),"",OFFSET('Smelter Reference List'!$G$4,$S162-4,0))</f>
        <v>0</v>
      </c>
      <c r="I162" s="294" t="str">
        <f ca="1">IF(ISERROR($S162),"",OFFSET('Smelter Reference List'!$H$4,$S162-4,0))</f>
        <v>Shyolkovo</v>
      </c>
      <c r="J162" s="294" t="str">
        <f ca="1">IF(ISERROR($S162),"",OFFSET('Smelter Reference List'!$I$4,$S162-4,0))</f>
        <v>Moscow Region</v>
      </c>
      <c r="K162" s="295"/>
      <c r="L162" s="295"/>
      <c r="M162" s="295"/>
      <c r="N162" s="295"/>
      <c r="O162" s="295"/>
      <c r="P162" s="295"/>
      <c r="Q162" s="296"/>
      <c r="R162" s="227"/>
      <c r="S162" s="228">
        <f ca="1">IF(C162="",NA(),MATCH($B162&amp;$C162,'Smelter Reference List'!$J:$J,0))</f>
        <v>188</v>
      </c>
      <c r="T162" s="229"/>
      <c r="U162" s="229">
        <f t="shared" ca="1" si="6"/>
        <v>0</v>
      </c>
      <c r="V162" s="229"/>
      <c r="W162" s="229"/>
      <c r="Y162" s="223" t="str">
        <f t="shared" ca="1" si="7"/>
        <v>GoldSOE Shyolkovsky Factory of Secondary Precious Metals</v>
      </c>
    </row>
    <row r="163" spans="1:25" s="223" customFormat="1" ht="20.25">
      <c r="A163" s="291" t="s">
        <v>1379</v>
      </c>
      <c r="B163" s="292" t="str">
        <f ca="1">IF(LEN(A163)=0,"",INDEX('Smelter Reference List'!$A:$A,MATCH($A163,'Smelter Reference List'!$E:$E,0)))</f>
        <v>Tin</v>
      </c>
      <c r="C163" s="298" t="str">
        <f ca="1">IF(LEN(A163)=0,"",INDEX('Smelter Reference List'!$C:$C,MATCH($A163,'Smelter Reference List'!$E:$E,0)))</f>
        <v>Soft Metais Ltda.</v>
      </c>
      <c r="D163" s="292" t="str">
        <f ca="1">IF(ISERROR($S163),"",OFFSET('Smelter Reference List'!$C$4,$S163-4,0)&amp;"")</f>
        <v>Soft Metais Ltda.</v>
      </c>
      <c r="E163" s="292" t="str">
        <f ca="1">IF(ISERROR($S163),"",OFFSET('Smelter Reference List'!$D$4,$S163-4,0)&amp;"")</f>
        <v>BRAZIL</v>
      </c>
      <c r="F163" s="292" t="str">
        <f ca="1">IF(ISERROR($S163),"",OFFSET('Smelter Reference List'!$E$4,$S163-4,0))</f>
        <v>CID001758</v>
      </c>
      <c r="G163" s="292" t="str">
        <f ca="1">IF(C163=$U$4,"Enter smelter details", IF(ISERROR($S163),"",OFFSET('Smelter Reference List'!$F$4,$S163-4,0)))</f>
        <v>CFSI</v>
      </c>
      <c r="H163" s="293">
        <f ca="1">IF(ISERROR($S163),"",OFFSET('Smelter Reference List'!$G$4,$S163-4,0))</f>
        <v>0</v>
      </c>
      <c r="I163" s="294" t="str">
        <f ca="1">IF(ISERROR($S163),"",OFFSET('Smelter Reference List'!$H$4,$S163-4,0))</f>
        <v>Bebedouro</v>
      </c>
      <c r="J163" s="294" t="str">
        <f ca="1">IF(ISERROR($S163),"",OFFSET('Smelter Reference List'!$I$4,$S163-4,0))</f>
        <v>São Paulo</v>
      </c>
      <c r="K163" s="295"/>
      <c r="L163" s="295"/>
      <c r="M163" s="295"/>
      <c r="N163" s="295"/>
      <c r="O163" s="295"/>
      <c r="P163" s="295"/>
      <c r="Q163" s="296"/>
      <c r="R163" s="227"/>
      <c r="S163" s="228">
        <f ca="1">IF(C163="",NA(),MATCH($B163&amp;$C163,'Smelter Reference List'!$J:$J,0))</f>
        <v>439</v>
      </c>
      <c r="T163" s="229"/>
      <c r="U163" s="229">
        <f t="shared" ca="1" si="6"/>
        <v>0</v>
      </c>
      <c r="V163" s="229"/>
      <c r="W163" s="229"/>
      <c r="Y163" s="223" t="str">
        <f t="shared" ca="1" si="7"/>
        <v>TinSoft Metais Ltda.</v>
      </c>
    </row>
    <row r="164" spans="1:25" s="223" customFormat="1" ht="20.25">
      <c r="A164" s="291" t="s">
        <v>1297</v>
      </c>
      <c r="B164" s="292" t="str">
        <f ca="1">IF(LEN(A164)=0,"",INDEX('Smelter Reference List'!$A:$A,MATCH($A164,'Smelter Reference List'!$E:$E,0)))</f>
        <v>Gold</v>
      </c>
      <c r="C164" s="298" t="str">
        <f ca="1">IF(LEN(A164)=0,"",INDEX('Smelter Reference List'!$C:$C,MATCH($A164,'Smelter Reference List'!$E:$E,0)))</f>
        <v>Solar Applied Materials Technology Corp.</v>
      </c>
      <c r="D164" s="292" t="str">
        <f ca="1">IF(ISERROR($S164),"",OFFSET('Smelter Reference List'!$C$4,$S164-4,0)&amp;"")</f>
        <v>Solar Applied Materials Technology Corp.</v>
      </c>
      <c r="E164" s="292" t="str">
        <f ca="1">IF(ISERROR($S164),"",OFFSET('Smelter Reference List'!$D$4,$S164-4,0)&amp;"")</f>
        <v>TAIWAN, PROVINCE OF CHINA</v>
      </c>
      <c r="F164" s="292" t="str">
        <f ca="1">IF(ISERROR($S164),"",OFFSET('Smelter Reference List'!$E$4,$S164-4,0))</f>
        <v>CID001761</v>
      </c>
      <c r="G164" s="292" t="str">
        <f ca="1">IF(C164=$U$4,"Enter smelter details", IF(ISERROR($S164),"",OFFSET('Smelter Reference List'!$F$4,$S164-4,0)))</f>
        <v>CFSI</v>
      </c>
      <c r="H164" s="293">
        <f ca="1">IF(ISERROR($S164),"",OFFSET('Smelter Reference List'!$G$4,$S164-4,0))</f>
        <v>0</v>
      </c>
      <c r="I164" s="294" t="str">
        <f ca="1">IF(ISERROR($S164),"",OFFSET('Smelter Reference List'!$H$4,$S164-4,0))</f>
        <v>Tainan City</v>
      </c>
      <c r="J164" s="294" t="str">
        <f ca="1">IF(ISERROR($S164),"",OFFSET('Smelter Reference List'!$I$4,$S164-4,0))</f>
        <v>Taiwan</v>
      </c>
      <c r="K164" s="295"/>
      <c r="L164" s="295"/>
      <c r="M164" s="295"/>
      <c r="N164" s="295"/>
      <c r="O164" s="295"/>
      <c r="P164" s="295"/>
      <c r="Q164" s="296"/>
      <c r="R164" s="227"/>
      <c r="S164" s="228">
        <f ca="1">IF(C164="",NA(),MATCH($B164&amp;$C164,'Smelter Reference List'!$J:$J,0))</f>
        <v>189</v>
      </c>
      <c r="T164" s="229"/>
      <c r="U164" s="229">
        <f t="shared" ca="1" si="6"/>
        <v>0</v>
      </c>
      <c r="V164" s="229"/>
      <c r="W164" s="229"/>
      <c r="Y164" s="223" t="str">
        <f t="shared" ca="1" si="7"/>
        <v>GoldSolar Applied Materials Technology Corp.</v>
      </c>
    </row>
    <row r="165" spans="1:25" s="223" customFormat="1" ht="20.25">
      <c r="A165" s="291" t="s">
        <v>1334</v>
      </c>
      <c r="B165" s="292" t="str">
        <f ca="1">IF(LEN(A165)=0,"",INDEX('Smelter Reference List'!$A:$A,MATCH($A165,'Smelter Reference List'!$E:$E,0)))</f>
        <v>Tantalum</v>
      </c>
      <c r="C165" s="298" t="str">
        <f ca="1">IF(LEN(A165)=0,"",INDEX('Smelter Reference List'!$C:$C,MATCH($A165,'Smelter Reference List'!$E:$E,0)))</f>
        <v>Solikamsk Magnesium Works OAO</v>
      </c>
      <c r="D165" s="292" t="str">
        <f ca="1">IF(ISERROR($S165),"",OFFSET('Smelter Reference List'!$C$4,$S165-4,0)&amp;"")</f>
        <v>Solikamsk Magnesium Works OAO</v>
      </c>
      <c r="E165" s="292" t="str">
        <f ca="1">IF(ISERROR($S165),"",OFFSET('Smelter Reference List'!$D$4,$S165-4,0)&amp;"")</f>
        <v>RUSSIAN FEDERATION</v>
      </c>
      <c r="F165" s="292" t="str">
        <f ca="1">IF(ISERROR($S165),"",OFFSET('Smelter Reference List'!$E$4,$S165-4,0))</f>
        <v>CID001769</v>
      </c>
      <c r="G165" s="292" t="str">
        <f ca="1">IF(C165=$U$4,"Enter smelter details", IF(ISERROR($S165),"",OFFSET('Smelter Reference List'!$F$4,$S165-4,0)))</f>
        <v>CFSI</v>
      </c>
      <c r="H165" s="293">
        <f ca="1">IF(ISERROR($S165),"",OFFSET('Smelter Reference List'!$G$4,$S165-4,0))</f>
        <v>0</v>
      </c>
      <c r="I165" s="294" t="str">
        <f ca="1">IF(ISERROR($S165),"",OFFSET('Smelter Reference List'!$H$4,$S165-4,0))</f>
        <v>Solikamsk</v>
      </c>
      <c r="J165" s="294" t="str">
        <f ca="1">IF(ISERROR($S165),"",OFFSET('Smelter Reference List'!$I$4,$S165-4,0))</f>
        <v>Perm Krai</v>
      </c>
      <c r="K165" s="295"/>
      <c r="L165" s="295"/>
      <c r="M165" s="295"/>
      <c r="N165" s="295"/>
      <c r="O165" s="295"/>
      <c r="P165" s="295"/>
      <c r="Q165" s="296"/>
      <c r="R165" s="227"/>
      <c r="S165" s="228">
        <f ca="1">IF(C165="",NA(),MATCH($B165&amp;$C165,'Smelter Reference List'!$J:$J,0))</f>
        <v>294</v>
      </c>
      <c r="T165" s="229"/>
      <c r="U165" s="229">
        <f t="shared" ca="1" si="6"/>
        <v>0</v>
      </c>
      <c r="V165" s="229"/>
      <c r="W165" s="229"/>
      <c r="Y165" s="223" t="str">
        <f t="shared" ca="1" si="7"/>
        <v>TantalumSolikamsk Magnesium Works OAO</v>
      </c>
    </row>
    <row r="166" spans="1:25" s="223" customFormat="1" ht="20.25">
      <c r="A166" s="291" t="s">
        <v>1298</v>
      </c>
      <c r="B166" s="292" t="str">
        <f ca="1">IF(LEN(A166)=0,"",INDEX('Smelter Reference List'!$A:$A,MATCH($A166,'Smelter Reference List'!$E:$E,0)))</f>
        <v>Gold</v>
      </c>
      <c r="C166" s="298" t="str">
        <f ca="1">IF(LEN(A166)=0,"",INDEX('Smelter Reference List'!$C:$C,MATCH($A166,'Smelter Reference List'!$E:$E,0)))</f>
        <v>Sumitomo Metal Mining Co., Ltd.</v>
      </c>
      <c r="D166" s="292" t="str">
        <f ca="1">IF(ISERROR($S166),"",OFFSET('Smelter Reference List'!$C$4,$S166-4,0)&amp;"")</f>
        <v>Sumitomo Metal Mining Co., Ltd.</v>
      </c>
      <c r="E166" s="292" t="str">
        <f ca="1">IF(ISERROR($S166),"",OFFSET('Smelter Reference List'!$D$4,$S166-4,0)&amp;"")</f>
        <v>JAPAN</v>
      </c>
      <c r="F166" s="292" t="str">
        <f ca="1">IF(ISERROR($S166),"",OFFSET('Smelter Reference List'!$E$4,$S166-4,0))</f>
        <v>CID001798</v>
      </c>
      <c r="G166" s="292" t="str">
        <f ca="1">IF(C166=$U$4,"Enter smelter details", IF(ISERROR($S166),"",OFFSET('Smelter Reference List'!$F$4,$S166-4,0)))</f>
        <v>CFSI</v>
      </c>
      <c r="H166" s="293">
        <f ca="1">IF(ISERROR($S166),"",OFFSET('Smelter Reference List'!$G$4,$S166-4,0))</f>
        <v>0</v>
      </c>
      <c r="I166" s="294" t="str">
        <f ca="1">IF(ISERROR($S166),"",OFFSET('Smelter Reference List'!$H$4,$S166-4,0))</f>
        <v>Saijo</v>
      </c>
      <c r="J166" s="294" t="str">
        <f ca="1">IF(ISERROR($S166),"",OFFSET('Smelter Reference List'!$I$4,$S166-4,0))</f>
        <v>Ehime</v>
      </c>
      <c r="K166" s="295"/>
      <c r="L166" s="295"/>
      <c r="M166" s="295"/>
      <c r="N166" s="295"/>
      <c r="O166" s="295"/>
      <c r="P166" s="295"/>
      <c r="Q166" s="296"/>
      <c r="R166" s="227"/>
      <c r="S166" s="228">
        <f ca="1">IF(C166="",NA(),MATCH($B166&amp;$C166,'Smelter Reference List'!$J:$J,0))</f>
        <v>194</v>
      </c>
      <c r="T166" s="229"/>
      <c r="U166" s="229">
        <f t="shared" ca="1" si="6"/>
        <v>0</v>
      </c>
      <c r="V166" s="229"/>
      <c r="W166" s="229"/>
      <c r="Y166" s="223" t="str">
        <f t="shared" ca="1" si="7"/>
        <v>GoldSumitomo Metal Mining Co., Ltd.</v>
      </c>
    </row>
    <row r="167" spans="1:25" s="223" customFormat="1" ht="20.25">
      <c r="A167" s="291" t="s">
        <v>1335</v>
      </c>
      <c r="B167" s="292" t="str">
        <f ca="1">IF(LEN(A167)=0,"",INDEX('Smelter Reference List'!$A:$A,MATCH($A167,'Smelter Reference List'!$E:$E,0)))</f>
        <v>Tantalum</v>
      </c>
      <c r="C167" s="298" t="str">
        <f ca="1">IF(LEN(A167)=0,"",INDEX('Smelter Reference List'!$C:$C,MATCH($A167,'Smelter Reference List'!$E:$E,0)))</f>
        <v>Taki Chemical Co., Ltd.</v>
      </c>
      <c r="D167" s="292" t="str">
        <f ca="1">IF(ISERROR($S167),"",OFFSET('Smelter Reference List'!$C$4,$S167-4,0)&amp;"")</f>
        <v>Taki Chemical Co., Ltd.</v>
      </c>
      <c r="E167" s="292" t="str">
        <f ca="1">IF(ISERROR($S167),"",OFFSET('Smelter Reference List'!$D$4,$S167-4,0)&amp;"")</f>
        <v>JAPAN</v>
      </c>
      <c r="F167" s="292" t="str">
        <f ca="1">IF(ISERROR($S167),"",OFFSET('Smelter Reference List'!$E$4,$S167-4,0))</f>
        <v>CID001869</v>
      </c>
      <c r="G167" s="292" t="str">
        <f ca="1">IF(C167=$U$4,"Enter smelter details", IF(ISERROR($S167),"",OFFSET('Smelter Reference List'!$F$4,$S167-4,0)))</f>
        <v>CFSI</v>
      </c>
      <c r="H167" s="293">
        <f ca="1">IF(ISERROR($S167),"",OFFSET('Smelter Reference List'!$G$4,$S167-4,0))</f>
        <v>0</v>
      </c>
      <c r="I167" s="294" t="str">
        <f ca="1">IF(ISERROR($S167),"",OFFSET('Smelter Reference List'!$H$4,$S167-4,0))</f>
        <v>Harima</v>
      </c>
      <c r="J167" s="294" t="str">
        <f ca="1">IF(ISERROR($S167),"",OFFSET('Smelter Reference List'!$I$4,$S167-4,0))</f>
        <v>Hyogo</v>
      </c>
      <c r="K167" s="295"/>
      <c r="L167" s="295"/>
      <c r="M167" s="295"/>
      <c r="N167" s="295"/>
      <c r="O167" s="295"/>
      <c r="P167" s="295"/>
      <c r="Q167" s="296"/>
      <c r="R167" s="227"/>
      <c r="S167" s="228">
        <f ca="1">IF(C167="",NA(),MATCH($B167&amp;$C167,'Smelter Reference List'!$J:$J,0))</f>
        <v>296</v>
      </c>
      <c r="T167" s="229"/>
      <c r="U167" s="229">
        <f t="shared" ca="1" si="6"/>
        <v>0</v>
      </c>
      <c r="V167" s="229"/>
      <c r="W167" s="229"/>
      <c r="Y167" s="223" t="str">
        <f t="shared" ca="1" si="7"/>
        <v>TantalumTaki Chemical Co., Ltd.</v>
      </c>
    </row>
    <row r="168" spans="1:25" s="223" customFormat="1" ht="20.25">
      <c r="A168" s="291" t="s">
        <v>1299</v>
      </c>
      <c r="B168" s="292" t="str">
        <f ca="1">IF(LEN(A168)=0,"",INDEX('Smelter Reference List'!$A:$A,MATCH($A168,'Smelter Reference List'!$E:$E,0)))</f>
        <v>Gold</v>
      </c>
      <c r="C168" s="298" t="str">
        <f ca="1">IF(LEN(A168)=0,"",INDEX('Smelter Reference List'!$C:$C,MATCH($A168,'Smelter Reference List'!$E:$E,0)))</f>
        <v>Tanaka Kikinzoku Kogyo K.K.</v>
      </c>
      <c r="D168" s="292" t="str">
        <f ca="1">IF(ISERROR($S168),"",OFFSET('Smelter Reference List'!$C$4,$S168-4,0)&amp;"")</f>
        <v>Tanaka Kikinzoku Kogyo K.K.</v>
      </c>
      <c r="E168" s="292" t="str">
        <f ca="1">IF(ISERROR($S168),"",OFFSET('Smelter Reference List'!$D$4,$S168-4,0)&amp;"")</f>
        <v>JAPAN</v>
      </c>
      <c r="F168" s="292" t="str">
        <f ca="1">IF(ISERROR($S168),"",OFFSET('Smelter Reference List'!$E$4,$S168-4,0))</f>
        <v>CID001875</v>
      </c>
      <c r="G168" s="292" t="str">
        <f ca="1">IF(C168=$U$4,"Enter smelter details", IF(ISERROR($S168),"",OFFSET('Smelter Reference List'!$F$4,$S168-4,0)))</f>
        <v>CFSI</v>
      </c>
      <c r="H168" s="293">
        <f ca="1">IF(ISERROR($S168),"",OFFSET('Smelter Reference List'!$G$4,$S168-4,0))</f>
        <v>0</v>
      </c>
      <c r="I168" s="294" t="str">
        <f ca="1">IF(ISERROR($S168),"",OFFSET('Smelter Reference List'!$H$4,$S168-4,0))</f>
        <v>Hiratsuka</v>
      </c>
      <c r="J168" s="294" t="str">
        <f ca="1">IF(ISERROR($S168),"",OFFSET('Smelter Reference List'!$I$4,$S168-4,0))</f>
        <v>Kanagawa</v>
      </c>
      <c r="K168" s="295"/>
      <c r="L168" s="295"/>
      <c r="M168" s="295"/>
      <c r="N168" s="295"/>
      <c r="O168" s="295"/>
      <c r="P168" s="295"/>
      <c r="Q168" s="296"/>
      <c r="R168" s="227"/>
      <c r="S168" s="228">
        <f ca="1">IF(C168="",NA(),MATCH($B168&amp;$C168,'Smelter Reference List'!$J:$J,0))</f>
        <v>205</v>
      </c>
      <c r="T168" s="229"/>
      <c r="U168" s="229">
        <f t="shared" ca="1" si="6"/>
        <v>0</v>
      </c>
      <c r="V168" s="229"/>
      <c r="W168" s="229"/>
      <c r="Y168" s="223" t="str">
        <f t="shared" ca="1" si="7"/>
        <v>GoldTanaka Kikinzoku Kogyo K.K.</v>
      </c>
    </row>
    <row r="169" spans="1:25" s="223" customFormat="1" ht="20.25">
      <c r="A169" s="291" t="s">
        <v>1396</v>
      </c>
      <c r="B169" s="292" t="str">
        <f ca="1">IF(LEN(A169)=0,"",INDEX('Smelter Reference List'!$A:$A,MATCH($A169,'Smelter Reference List'!$E:$E,0)))</f>
        <v>Tungsten</v>
      </c>
      <c r="C169" s="298" t="str">
        <f ca="1">IF(LEN(A169)=0,"",INDEX('Smelter Reference List'!$C:$C,MATCH($A169,'Smelter Reference List'!$E:$E,0)))</f>
        <v>Tejing (Vietnam) Tungsten Co., Ltd.</v>
      </c>
      <c r="D169" s="292" t="str">
        <f ca="1">IF(ISERROR($S169),"",OFFSET('Smelter Reference List'!$C$4,$S169-4,0)&amp;"")</f>
        <v>Tejing (Vietnam) Tungsten Co., Ltd.</v>
      </c>
      <c r="E169" s="292" t="str">
        <f ca="1">IF(ISERROR($S169),"",OFFSET('Smelter Reference List'!$D$4,$S169-4,0)&amp;"")</f>
        <v>VIET NAM</v>
      </c>
      <c r="F169" s="292" t="str">
        <f ca="1">IF(ISERROR($S169),"",OFFSET('Smelter Reference List'!$E$4,$S169-4,0))</f>
        <v>CID001889</v>
      </c>
      <c r="G169" s="292" t="str">
        <f ca="1">IF(C169=$U$4,"Enter smelter details", IF(ISERROR($S169),"",OFFSET('Smelter Reference List'!$F$4,$S169-4,0)))</f>
        <v>CFSI</v>
      </c>
      <c r="H169" s="293">
        <f ca="1">IF(ISERROR($S169),"",OFFSET('Smelter Reference List'!$G$4,$S169-4,0))</f>
        <v>0</v>
      </c>
      <c r="I169" s="294" t="str">
        <f ca="1">IF(ISERROR($S169),"",OFFSET('Smelter Reference List'!$H$4,$S169-4,0))</f>
        <v>Halong City</v>
      </c>
      <c r="J169" s="294" t="str">
        <f ca="1">IF(ISERROR($S169),"",OFFSET('Smelter Reference List'!$I$4,$S169-4,0))</f>
        <v>TayNinh</v>
      </c>
      <c r="K169" s="295"/>
      <c r="L169" s="295"/>
      <c r="M169" s="295"/>
      <c r="N169" s="295"/>
      <c r="O169" s="295"/>
      <c r="P169" s="295"/>
      <c r="Q169" s="296"/>
      <c r="R169" s="227"/>
      <c r="S169" s="228">
        <f ca="1">IF(C169="",NA(),MATCH($B169&amp;$C169,'Smelter Reference List'!$J:$J,0))</f>
        <v>516</v>
      </c>
      <c r="T169" s="229"/>
      <c r="U169" s="229">
        <f t="shared" ca="1" si="6"/>
        <v>0</v>
      </c>
      <c r="V169" s="229"/>
      <c r="W169" s="229"/>
      <c r="Y169" s="223" t="str">
        <f t="shared" ca="1" si="7"/>
        <v>TungstenTejing (Vietnam) Tungsten Co., Ltd.</v>
      </c>
    </row>
    <row r="170" spans="1:25" s="223" customFormat="1" ht="20.25">
      <c r="A170" s="291" t="s">
        <v>1336</v>
      </c>
      <c r="B170" s="292" t="str">
        <f ca="1">IF(LEN(A170)=0,"",INDEX('Smelter Reference List'!$A:$A,MATCH($A170,'Smelter Reference List'!$E:$E,0)))</f>
        <v>Tantalum</v>
      </c>
      <c r="C170" s="298" t="str">
        <f ca="1">IF(LEN(A170)=0,"",INDEX('Smelter Reference List'!$C:$C,MATCH($A170,'Smelter Reference List'!$E:$E,0)))</f>
        <v>Telex Metals</v>
      </c>
      <c r="D170" s="292" t="str">
        <f ca="1">IF(ISERROR($S170),"",OFFSET('Smelter Reference List'!$C$4,$S170-4,0)&amp;"")</f>
        <v>Telex Metals</v>
      </c>
      <c r="E170" s="292" t="str">
        <f ca="1">IF(ISERROR($S170),"",OFFSET('Smelter Reference List'!$D$4,$S170-4,0)&amp;"")</f>
        <v>UNITED STATES OF AMERICA</v>
      </c>
      <c r="F170" s="292" t="str">
        <f ca="1">IF(ISERROR($S170),"",OFFSET('Smelter Reference List'!$E$4,$S170-4,0))</f>
        <v>CID001891</v>
      </c>
      <c r="G170" s="292" t="str">
        <f ca="1">IF(C170=$U$4,"Enter smelter details", IF(ISERROR($S170),"",OFFSET('Smelter Reference List'!$F$4,$S170-4,0)))</f>
        <v>CFSI</v>
      </c>
      <c r="H170" s="293">
        <f ca="1">IF(ISERROR($S170),"",OFFSET('Smelter Reference List'!$G$4,$S170-4,0))</f>
        <v>0</v>
      </c>
      <c r="I170" s="294" t="str">
        <f ca="1">IF(ISERROR($S170),"",OFFSET('Smelter Reference List'!$H$4,$S170-4,0))</f>
        <v>Croydon</v>
      </c>
      <c r="J170" s="294" t="str">
        <f ca="1">IF(ISERROR($S170),"",OFFSET('Smelter Reference List'!$I$4,$S170-4,0))</f>
        <v>Pennsylvania</v>
      </c>
      <c r="K170" s="295"/>
      <c r="L170" s="295"/>
      <c r="M170" s="295"/>
      <c r="N170" s="295"/>
      <c r="O170" s="295"/>
      <c r="P170" s="295"/>
      <c r="Q170" s="296"/>
      <c r="R170" s="227"/>
      <c r="S170" s="228">
        <f ca="1">IF(C170="",NA(),MATCH($B170&amp;$C170,'Smelter Reference List'!$J:$J,0))</f>
        <v>298</v>
      </c>
      <c r="T170" s="229"/>
      <c r="U170" s="229">
        <f t="shared" ca="1" si="6"/>
        <v>0</v>
      </c>
      <c r="V170" s="229"/>
      <c r="W170" s="229"/>
      <c r="Y170" s="223" t="str">
        <f t="shared" ca="1" si="7"/>
        <v>TantalumTelex Metals</v>
      </c>
    </row>
    <row r="171" spans="1:25" s="223" customFormat="1" ht="20.25">
      <c r="A171" s="291" t="s">
        <v>1380</v>
      </c>
      <c r="B171" s="292" t="str">
        <f ca="1">IF(LEN(A171)=0,"",INDEX('Smelter Reference List'!$A:$A,MATCH($A171,'Smelter Reference List'!$E:$E,0)))</f>
        <v>Tin</v>
      </c>
      <c r="C171" s="298" t="str">
        <f ca="1">IF(LEN(A171)=0,"",INDEX('Smelter Reference List'!$C:$C,MATCH($A171,'Smelter Reference List'!$E:$E,0)))</f>
        <v>Thaisarco</v>
      </c>
      <c r="D171" s="292" t="str">
        <f ca="1">IF(ISERROR($S171),"",OFFSET('Smelter Reference List'!$C$4,$S171-4,0)&amp;"")</f>
        <v>Thaisarco</v>
      </c>
      <c r="E171" s="292" t="str">
        <f ca="1">IF(ISERROR($S171),"",OFFSET('Smelter Reference List'!$D$4,$S171-4,0)&amp;"")</f>
        <v>THAILAND</v>
      </c>
      <c r="F171" s="292" t="str">
        <f ca="1">IF(ISERROR($S171),"",OFFSET('Smelter Reference List'!$E$4,$S171-4,0))</f>
        <v>CID001898</v>
      </c>
      <c r="G171" s="292" t="str">
        <f ca="1">IF(C171=$U$4,"Enter smelter details", IF(ISERROR($S171),"",OFFSET('Smelter Reference List'!$F$4,$S171-4,0)))</f>
        <v>CFSI</v>
      </c>
      <c r="H171" s="293">
        <f ca="1">IF(ISERROR($S171),"",OFFSET('Smelter Reference List'!$G$4,$S171-4,0))</f>
        <v>0</v>
      </c>
      <c r="I171" s="294" t="str">
        <f ca="1">IF(ISERROR($S171),"",OFFSET('Smelter Reference List'!$H$4,$S171-4,0))</f>
        <v>Amphur Muang</v>
      </c>
      <c r="J171" s="294" t="str">
        <f ca="1">IF(ISERROR($S171),"",OFFSET('Smelter Reference List'!$I$4,$S171-4,0))</f>
        <v>Phuket</v>
      </c>
      <c r="K171" s="295"/>
      <c r="L171" s="295"/>
      <c r="M171" s="295"/>
      <c r="N171" s="295"/>
      <c r="O171" s="295"/>
      <c r="P171" s="295"/>
      <c r="Q171" s="296"/>
      <c r="R171" s="227"/>
      <c r="S171" s="228">
        <f ca="1">IF(C171="",NA(),MATCH($B171&amp;$C171,'Smelter Reference List'!$J:$J,0))</f>
        <v>442</v>
      </c>
      <c r="T171" s="229"/>
      <c r="U171" s="229">
        <f t="shared" ca="1" si="6"/>
        <v>0</v>
      </c>
      <c r="V171" s="229"/>
      <c r="W171" s="229"/>
      <c r="Y171" s="223" t="str">
        <f t="shared" ca="1" si="7"/>
        <v>TinThaisarco</v>
      </c>
    </row>
    <row r="172" spans="1:25" s="223" customFormat="1" ht="20.25">
      <c r="A172" s="291" t="s">
        <v>1300</v>
      </c>
      <c r="B172" s="292" t="str">
        <f ca="1">IF(LEN(A172)=0,"",INDEX('Smelter Reference List'!$A:$A,MATCH($A172,'Smelter Reference List'!$E:$E,0)))</f>
        <v>Gold</v>
      </c>
      <c r="C172" s="298" t="str">
        <f ca="1">IF(LEN(A172)=0,"",INDEX('Smelter Reference List'!$C:$C,MATCH($A172,'Smelter Reference List'!$E:$E,0)))</f>
        <v>Great Wall Precious Metals Co., Ltd. of CBPM</v>
      </c>
      <c r="D172" s="292" t="str">
        <f ca="1">IF(ISERROR($S172),"",OFFSET('Smelter Reference List'!$C$4,$S172-4,0)&amp;"")</f>
        <v>Great Wall Precious Metals Co., Ltd. of CBPM</v>
      </c>
      <c r="E172" s="292" t="str">
        <f ca="1">IF(ISERROR($S172),"",OFFSET('Smelter Reference List'!$D$4,$S172-4,0)&amp;"")</f>
        <v>CHINA</v>
      </c>
      <c r="F172" s="292" t="str">
        <f ca="1">IF(ISERROR($S172),"",OFFSET('Smelter Reference List'!$E$4,$S172-4,0))</f>
        <v>CID001909</v>
      </c>
      <c r="G172" s="292" t="str">
        <f ca="1">IF(C172=$U$4,"Enter smelter details", IF(ISERROR($S172),"",OFFSET('Smelter Reference List'!$F$4,$S172-4,0)))</f>
        <v>CFSI</v>
      </c>
      <c r="H172" s="293">
        <f ca="1">IF(ISERROR($S172),"",OFFSET('Smelter Reference List'!$G$4,$S172-4,0))</f>
        <v>0</v>
      </c>
      <c r="I172" s="294" t="str">
        <f ca="1">IF(ISERROR($S172),"",OFFSET('Smelter Reference List'!$H$4,$S172-4,0))</f>
        <v>Chengdu</v>
      </c>
      <c r="J172" s="294" t="str">
        <f ca="1">IF(ISERROR($S172),"",OFFSET('Smelter Reference List'!$I$4,$S172-4,0))</f>
        <v>Sichuan</v>
      </c>
      <c r="K172" s="295"/>
      <c r="L172" s="295"/>
      <c r="M172" s="295"/>
      <c r="N172" s="295"/>
      <c r="O172" s="295"/>
      <c r="P172" s="295"/>
      <c r="Q172" s="296"/>
      <c r="R172" s="227"/>
      <c r="S172" s="228">
        <f ca="1">IF(C172="",NA(),MATCH($B172&amp;$C172,'Smelter Reference List'!$J:$J,0))</f>
        <v>66</v>
      </c>
      <c r="T172" s="229"/>
      <c r="U172" s="229">
        <f t="shared" ca="1" si="6"/>
        <v>0</v>
      </c>
      <c r="V172" s="229"/>
      <c r="W172" s="229"/>
      <c r="Y172" s="223" t="str">
        <f t="shared" ca="1" si="7"/>
        <v>GoldGreat Wall Precious Metals Co., Ltd. of CBPM</v>
      </c>
    </row>
    <row r="173" spans="1:25" s="223" customFormat="1" ht="20.25">
      <c r="A173" s="291" t="s">
        <v>1301</v>
      </c>
      <c r="B173" s="292" t="str">
        <f ca="1">IF(LEN(A173)=0,"",INDEX('Smelter Reference List'!$A:$A,MATCH($A173,'Smelter Reference List'!$E:$E,0)))</f>
        <v>Gold</v>
      </c>
      <c r="C173" s="298" t="str">
        <f ca="1">IF(LEN(A173)=0,"",INDEX('Smelter Reference List'!$C:$C,MATCH($A173,'Smelter Reference List'!$E:$E,0)))</f>
        <v>The Refinery of Shandong Gold Mining Co., Ltd.</v>
      </c>
      <c r="D173" s="292" t="str">
        <f ca="1">IF(ISERROR($S173),"",OFFSET('Smelter Reference List'!$C$4,$S173-4,0)&amp;"")</f>
        <v>The Refinery of Shandong Gold Mining Co., Ltd.</v>
      </c>
      <c r="E173" s="292" t="str">
        <f ca="1">IF(ISERROR($S173),"",OFFSET('Smelter Reference List'!$D$4,$S173-4,0)&amp;"")</f>
        <v>CHINA</v>
      </c>
      <c r="F173" s="292" t="str">
        <f ca="1">IF(ISERROR($S173),"",OFFSET('Smelter Reference List'!$E$4,$S173-4,0))</f>
        <v>CID001916</v>
      </c>
      <c r="G173" s="292" t="str">
        <f ca="1">IF(C173=$U$4,"Enter smelter details", IF(ISERROR($S173),"",OFFSET('Smelter Reference List'!$F$4,$S173-4,0)))</f>
        <v>CFSI</v>
      </c>
      <c r="H173" s="293">
        <f ca="1">IF(ISERROR($S173),"",OFFSET('Smelter Reference List'!$G$4,$S173-4,0))</f>
        <v>0</v>
      </c>
      <c r="I173" s="294" t="str">
        <f ca="1">IF(ISERROR($S173),"",OFFSET('Smelter Reference List'!$H$4,$S173-4,0))</f>
        <v>Laizhou</v>
      </c>
      <c r="J173" s="294" t="str">
        <f ca="1">IF(ISERROR($S173),"",OFFSET('Smelter Reference List'!$I$4,$S173-4,0))</f>
        <v>Shandong</v>
      </c>
      <c r="K173" s="295"/>
      <c r="L173" s="295"/>
      <c r="M173" s="295"/>
      <c r="N173" s="295"/>
      <c r="O173" s="295"/>
      <c r="P173" s="295"/>
      <c r="Q173" s="296"/>
      <c r="R173" s="227"/>
      <c r="S173" s="228">
        <f ca="1">IF(C173="",NA(),MATCH($B173&amp;$C173,'Smelter Reference List'!$J:$J,0))</f>
        <v>209</v>
      </c>
      <c r="T173" s="229"/>
      <c r="U173" s="229">
        <f t="shared" ca="1" si="6"/>
        <v>0</v>
      </c>
      <c r="V173" s="229"/>
      <c r="W173" s="229"/>
      <c r="Y173" s="223" t="str">
        <f t="shared" ca="1" si="7"/>
        <v>GoldThe Refinery of Shandong Gold Mining Co., Ltd.</v>
      </c>
    </row>
    <row r="174" spans="1:25" s="223" customFormat="1" ht="20.25">
      <c r="A174" s="291" t="s">
        <v>1302</v>
      </c>
      <c r="B174" s="292" t="str">
        <f ca="1">IF(LEN(A174)=0,"",INDEX('Smelter Reference List'!$A:$A,MATCH($A174,'Smelter Reference List'!$E:$E,0)))</f>
        <v>Gold</v>
      </c>
      <c r="C174" s="298" t="str">
        <f ca="1">IF(LEN(A174)=0,"",INDEX('Smelter Reference List'!$C:$C,MATCH($A174,'Smelter Reference List'!$E:$E,0)))</f>
        <v>Tokuriki Honten Co., Ltd.</v>
      </c>
      <c r="D174" s="292" t="str">
        <f ca="1">IF(ISERROR($S174),"",OFFSET('Smelter Reference List'!$C$4,$S174-4,0)&amp;"")</f>
        <v>Tokuriki Honten Co., Ltd.</v>
      </c>
      <c r="E174" s="292" t="str">
        <f ca="1">IF(ISERROR($S174),"",OFFSET('Smelter Reference List'!$D$4,$S174-4,0)&amp;"")</f>
        <v>JAPAN</v>
      </c>
      <c r="F174" s="292" t="str">
        <f ca="1">IF(ISERROR($S174),"",OFFSET('Smelter Reference List'!$E$4,$S174-4,0))</f>
        <v>CID001938</v>
      </c>
      <c r="G174" s="292" t="str">
        <f ca="1">IF(C174=$U$4,"Enter smelter details", IF(ISERROR($S174),"",OFFSET('Smelter Reference List'!$F$4,$S174-4,0)))</f>
        <v>CFSI</v>
      </c>
      <c r="H174" s="293">
        <f ca="1">IF(ISERROR($S174),"",OFFSET('Smelter Reference List'!$G$4,$S174-4,0))</f>
        <v>0</v>
      </c>
      <c r="I174" s="294" t="str">
        <f ca="1">IF(ISERROR($S174),"",OFFSET('Smelter Reference List'!$H$4,$S174-4,0))</f>
        <v>Kuki</v>
      </c>
      <c r="J174" s="294" t="str">
        <f ca="1">IF(ISERROR($S174),"",OFFSET('Smelter Reference List'!$I$4,$S174-4,0))</f>
        <v>Saitama</v>
      </c>
      <c r="K174" s="295"/>
      <c r="L174" s="295"/>
      <c r="M174" s="295"/>
      <c r="N174" s="295"/>
      <c r="O174" s="295"/>
      <c r="P174" s="295"/>
      <c r="Q174" s="296"/>
      <c r="R174" s="227"/>
      <c r="S174" s="228">
        <f ca="1">IF(C174="",NA(),MATCH($B174&amp;$C174,'Smelter Reference List'!$J:$J,0))</f>
        <v>210</v>
      </c>
      <c r="T174" s="229"/>
      <c r="U174" s="229">
        <f t="shared" ca="1" si="6"/>
        <v>0</v>
      </c>
      <c r="V174" s="229"/>
      <c r="W174" s="229"/>
      <c r="Y174" s="223" t="str">
        <f t="shared" ca="1" si="7"/>
        <v>GoldTokuriki Honten Co., Ltd.</v>
      </c>
    </row>
    <row r="175" spans="1:25" s="223" customFormat="1" ht="20.25">
      <c r="A175" s="291" t="s">
        <v>1303</v>
      </c>
      <c r="B175" s="292" t="str">
        <f ca="1">IF(LEN(A175)=0,"",INDEX('Smelter Reference List'!$A:$A,MATCH($A175,'Smelter Reference List'!$E:$E,0)))</f>
        <v>Gold</v>
      </c>
      <c r="C175" s="298" t="str">
        <f ca="1">IF(LEN(A175)=0,"",INDEX('Smelter Reference List'!$C:$C,MATCH($A175,'Smelter Reference List'!$E:$E,0)))</f>
        <v>Tongling Nonferrous Metals Group Co., Ltd.</v>
      </c>
      <c r="D175" s="292" t="str">
        <f ca="1">IF(ISERROR($S175),"",OFFSET('Smelter Reference List'!$C$4,$S175-4,0)&amp;"")</f>
        <v>Tongling Nonferrous Metals Group Co., Ltd.</v>
      </c>
      <c r="E175" s="292" t="str">
        <f ca="1">IF(ISERROR($S175),"",OFFSET('Smelter Reference List'!$D$4,$S175-4,0)&amp;"")</f>
        <v>CHINA</v>
      </c>
      <c r="F175" s="292" t="str">
        <f ca="1">IF(ISERROR($S175),"",OFFSET('Smelter Reference List'!$E$4,$S175-4,0))</f>
        <v>CID001947</v>
      </c>
      <c r="G175" s="292" t="str">
        <f ca="1">IF(C175=$U$4,"Enter smelter details", IF(ISERROR($S175),"",OFFSET('Smelter Reference List'!$F$4,$S175-4,0)))</f>
        <v>CFSI</v>
      </c>
      <c r="H175" s="293">
        <f ca="1">IF(ISERROR($S175),"",OFFSET('Smelter Reference List'!$G$4,$S175-4,0))</f>
        <v>0</v>
      </c>
      <c r="I175" s="294" t="str">
        <f ca="1">IF(ISERROR($S175),"",OFFSET('Smelter Reference List'!$H$4,$S175-4,0))</f>
        <v>Tongling</v>
      </c>
      <c r="J175" s="294" t="str">
        <f ca="1">IF(ISERROR($S175),"",OFFSET('Smelter Reference List'!$I$4,$S175-4,0))</f>
        <v>Anhui</v>
      </c>
      <c r="K175" s="295"/>
      <c r="L175" s="295"/>
      <c r="M175" s="295"/>
      <c r="N175" s="295"/>
      <c r="O175" s="295"/>
      <c r="P175" s="295"/>
      <c r="Q175" s="296"/>
      <c r="R175" s="227"/>
      <c r="S175" s="228">
        <f ca="1">IF(C175="",NA(),MATCH($B175&amp;$C175,'Smelter Reference List'!$J:$J,0))</f>
        <v>211</v>
      </c>
      <c r="T175" s="229"/>
      <c r="U175" s="229">
        <f t="shared" ca="1" si="6"/>
        <v>0</v>
      </c>
      <c r="V175" s="229"/>
      <c r="W175" s="229"/>
      <c r="Y175" s="223" t="str">
        <f t="shared" ca="1" si="7"/>
        <v>GoldTongling Nonferrous Metals Group Co., Ltd.</v>
      </c>
    </row>
    <row r="176" spans="1:25" s="223" customFormat="1" ht="20.25">
      <c r="A176" s="291" t="s">
        <v>1304</v>
      </c>
      <c r="B176" s="292" t="str">
        <f ca="1">IF(LEN(A176)=0,"",INDEX('Smelter Reference List'!$A:$A,MATCH($A176,'Smelter Reference List'!$E:$E,0)))</f>
        <v>Gold</v>
      </c>
      <c r="C176" s="298" t="str">
        <f ca="1">IF(LEN(A176)=0,"",INDEX('Smelter Reference List'!$C:$C,MATCH($A176,'Smelter Reference List'!$E:$E,0)))</f>
        <v>Torecom</v>
      </c>
      <c r="D176" s="292" t="str">
        <f ca="1">IF(ISERROR($S176),"",OFFSET('Smelter Reference List'!$C$4,$S176-4,0)&amp;"")</f>
        <v>Torecom</v>
      </c>
      <c r="E176" s="292" t="str">
        <f ca="1">IF(ISERROR($S176),"",OFFSET('Smelter Reference List'!$D$4,$S176-4,0)&amp;"")</f>
        <v>KOREA (REPUBLIC OF)</v>
      </c>
      <c r="F176" s="292" t="str">
        <f ca="1">IF(ISERROR($S176),"",OFFSET('Smelter Reference List'!$E$4,$S176-4,0))</f>
        <v>CID001955</v>
      </c>
      <c r="G176" s="292" t="str">
        <f ca="1">IF(C176=$U$4,"Enter smelter details", IF(ISERROR($S176),"",OFFSET('Smelter Reference List'!$F$4,$S176-4,0)))</f>
        <v>CFSI</v>
      </c>
      <c r="H176" s="293">
        <f ca="1">IF(ISERROR($S176),"",OFFSET('Smelter Reference List'!$G$4,$S176-4,0))</f>
        <v>0</v>
      </c>
      <c r="I176" s="294" t="str">
        <f ca="1">IF(ISERROR($S176),"",OFFSET('Smelter Reference List'!$H$4,$S176-4,0))</f>
        <v>Asan</v>
      </c>
      <c r="J176" s="294" t="str">
        <f ca="1">IF(ISERROR($S176),"",OFFSET('Smelter Reference List'!$I$4,$S176-4,0))</f>
        <v>Chungcheong</v>
      </c>
      <c r="K176" s="295"/>
      <c r="L176" s="295"/>
      <c r="M176" s="295"/>
      <c r="N176" s="295"/>
      <c r="O176" s="295"/>
      <c r="P176" s="295"/>
      <c r="Q176" s="296"/>
      <c r="R176" s="227"/>
      <c r="S176" s="228">
        <f ca="1">IF(C176="",NA(),MATCH($B176&amp;$C176,'Smelter Reference List'!$J:$J,0))</f>
        <v>215</v>
      </c>
      <c r="T176" s="229"/>
      <c r="U176" s="229">
        <f t="shared" ca="1" si="6"/>
        <v>0</v>
      </c>
      <c r="V176" s="229"/>
      <c r="W176" s="229"/>
      <c r="Y176" s="223" t="str">
        <f t="shared" ca="1" si="7"/>
        <v>GoldTorecom</v>
      </c>
    </row>
    <row r="177" spans="1:25" s="223" customFormat="1" ht="20.25">
      <c r="A177" s="291" t="s">
        <v>1337</v>
      </c>
      <c r="B177" s="292" t="str">
        <f ca="1">IF(LEN(A177)=0,"",INDEX('Smelter Reference List'!$A:$A,MATCH($A177,'Smelter Reference List'!$E:$E,0)))</f>
        <v>Tantalum</v>
      </c>
      <c r="C177" s="298" t="str">
        <f ca="1">IF(LEN(A177)=0,"",INDEX('Smelter Reference List'!$C:$C,MATCH($A177,'Smelter Reference List'!$E:$E,0)))</f>
        <v>Ulba Metallurgical Plant JSC</v>
      </c>
      <c r="D177" s="292" t="str">
        <f ca="1">IF(ISERROR($S177),"",OFFSET('Smelter Reference List'!$C$4,$S177-4,0)&amp;"")</f>
        <v>Ulba Metallurgical Plant JSC</v>
      </c>
      <c r="E177" s="292" t="str">
        <f ca="1">IF(ISERROR($S177),"",OFFSET('Smelter Reference List'!$D$4,$S177-4,0)&amp;"")</f>
        <v>KAZAKHSTAN</v>
      </c>
      <c r="F177" s="292" t="str">
        <f ca="1">IF(ISERROR($S177),"",OFFSET('Smelter Reference List'!$E$4,$S177-4,0))</f>
        <v>CID001969</v>
      </c>
      <c r="G177" s="292" t="str">
        <f ca="1">IF(C177=$U$4,"Enter smelter details", IF(ISERROR($S177),"",OFFSET('Smelter Reference List'!$F$4,$S177-4,0)))</f>
        <v>CFSI</v>
      </c>
      <c r="H177" s="293">
        <f ca="1">IF(ISERROR($S177),"",OFFSET('Smelter Reference List'!$G$4,$S177-4,0))</f>
        <v>0</v>
      </c>
      <c r="I177" s="294" t="str">
        <f ca="1">IF(ISERROR($S177),"",OFFSET('Smelter Reference List'!$H$4,$S177-4,0))</f>
        <v>Ust-Kamenogorsk</v>
      </c>
      <c r="J177" s="294" t="str">
        <f ca="1">IF(ISERROR($S177),"",OFFSET('Smelter Reference List'!$I$4,$S177-4,0))</f>
        <v>East Kazakhstan</v>
      </c>
      <c r="K177" s="295"/>
      <c r="L177" s="295"/>
      <c r="M177" s="295"/>
      <c r="N177" s="295"/>
      <c r="O177" s="295"/>
      <c r="P177" s="295"/>
      <c r="Q177" s="296"/>
      <c r="R177" s="227"/>
      <c r="S177" s="228">
        <f ca="1">IF(C177="",NA(),MATCH($B177&amp;$C177,'Smelter Reference List'!$J:$J,0))</f>
        <v>301</v>
      </c>
      <c r="T177" s="229"/>
      <c r="U177" s="229">
        <f t="shared" ca="1" si="6"/>
        <v>0</v>
      </c>
      <c r="V177" s="229"/>
      <c r="W177" s="229"/>
      <c r="Y177" s="223" t="str">
        <f t="shared" ca="1" si="7"/>
        <v>TantalumUlba Metallurgical Plant JSC</v>
      </c>
    </row>
    <row r="178" spans="1:25" s="223" customFormat="1" ht="20.25">
      <c r="A178" s="291" t="s">
        <v>1305</v>
      </c>
      <c r="B178" s="292" t="str">
        <f ca="1">IF(LEN(A178)=0,"",INDEX('Smelter Reference List'!$A:$A,MATCH($A178,'Smelter Reference List'!$E:$E,0)))</f>
        <v>Gold</v>
      </c>
      <c r="C178" s="298" t="str">
        <f ca="1">IF(LEN(A178)=0,"",INDEX('Smelter Reference List'!$C:$C,MATCH($A178,'Smelter Reference List'!$E:$E,0)))</f>
        <v>Umicore Brasil Ltda.</v>
      </c>
      <c r="D178" s="292" t="str">
        <f ca="1">IF(ISERROR($S178),"",OFFSET('Smelter Reference List'!$C$4,$S178-4,0)&amp;"")</f>
        <v>Umicore Brasil Ltda.</v>
      </c>
      <c r="E178" s="292" t="str">
        <f ca="1">IF(ISERROR($S178),"",OFFSET('Smelter Reference List'!$D$4,$S178-4,0)&amp;"")</f>
        <v>BRAZIL</v>
      </c>
      <c r="F178" s="292" t="str">
        <f ca="1">IF(ISERROR($S178),"",OFFSET('Smelter Reference List'!$E$4,$S178-4,0))</f>
        <v>CID001977</v>
      </c>
      <c r="G178" s="292" t="str">
        <f ca="1">IF(C178=$U$4,"Enter smelter details", IF(ISERROR($S178),"",OFFSET('Smelter Reference List'!$F$4,$S178-4,0)))</f>
        <v>CFSI</v>
      </c>
      <c r="H178" s="293">
        <f ca="1">IF(ISERROR($S178),"",OFFSET('Smelter Reference List'!$G$4,$S178-4,0))</f>
        <v>0</v>
      </c>
      <c r="I178" s="294" t="str">
        <f ca="1">IF(ISERROR($S178),"",OFFSET('Smelter Reference List'!$H$4,$S178-4,0))</f>
        <v>Guarulhos</v>
      </c>
      <c r="J178" s="294" t="str">
        <f ca="1">IF(ISERROR($S178),"",OFFSET('Smelter Reference List'!$I$4,$S178-4,0))</f>
        <v>São Paulo</v>
      </c>
      <c r="K178" s="295"/>
      <c r="L178" s="295"/>
      <c r="M178" s="295"/>
      <c r="N178" s="295"/>
      <c r="O178" s="295"/>
      <c r="P178" s="295"/>
      <c r="Q178" s="296"/>
      <c r="R178" s="227"/>
      <c r="S178" s="228">
        <f ca="1">IF(C178="",NA(),MATCH($B178&amp;$C178,'Smelter Reference List'!$J:$J,0))</f>
        <v>217</v>
      </c>
      <c r="T178" s="229"/>
      <c r="U178" s="229">
        <f t="shared" ca="1" si="6"/>
        <v>0</v>
      </c>
      <c r="V178" s="229"/>
      <c r="W178" s="229"/>
      <c r="Y178" s="223" t="str">
        <f t="shared" ca="1" si="7"/>
        <v>GoldUmicore Brasil Ltda.</v>
      </c>
    </row>
    <row r="179" spans="1:25" s="223" customFormat="1" ht="20.25">
      <c r="A179" s="291" t="s">
        <v>1306</v>
      </c>
      <c r="B179" s="292" t="str">
        <f ca="1">IF(LEN(A179)=0,"",INDEX('Smelter Reference List'!$A:$A,MATCH($A179,'Smelter Reference List'!$E:$E,0)))</f>
        <v>Gold</v>
      </c>
      <c r="C179" s="298" t="str">
        <f ca="1">IF(LEN(A179)=0,"",INDEX('Smelter Reference List'!$C:$C,MATCH($A179,'Smelter Reference List'!$E:$E,0)))</f>
        <v>Umicore S.A. Business Unit Precious Metals Refining</v>
      </c>
      <c r="D179" s="292" t="str">
        <f ca="1">IF(ISERROR($S179),"",OFFSET('Smelter Reference List'!$C$4,$S179-4,0)&amp;"")</f>
        <v>Umicore S.A. Business Unit Precious Metals Refining</v>
      </c>
      <c r="E179" s="292" t="str">
        <f ca="1">IF(ISERROR($S179),"",OFFSET('Smelter Reference List'!$D$4,$S179-4,0)&amp;"")</f>
        <v>BELGIUM</v>
      </c>
      <c r="F179" s="292" t="str">
        <f ca="1">IF(ISERROR($S179),"",OFFSET('Smelter Reference List'!$E$4,$S179-4,0))</f>
        <v>CID001980</v>
      </c>
      <c r="G179" s="292" t="str">
        <f ca="1">IF(C179=$U$4,"Enter smelter details", IF(ISERROR($S179),"",OFFSET('Smelter Reference List'!$F$4,$S179-4,0)))</f>
        <v>CFSI</v>
      </c>
      <c r="H179" s="293">
        <f ca="1">IF(ISERROR($S179),"",OFFSET('Smelter Reference List'!$G$4,$S179-4,0))</f>
        <v>0</v>
      </c>
      <c r="I179" s="294" t="str">
        <f ca="1">IF(ISERROR($S179),"",OFFSET('Smelter Reference List'!$H$4,$S179-4,0))</f>
        <v>Hoboken</v>
      </c>
      <c r="J179" s="294" t="str">
        <f ca="1">IF(ISERROR($S179),"",OFFSET('Smelter Reference List'!$I$4,$S179-4,0))</f>
        <v>Antwerp</v>
      </c>
      <c r="K179" s="295"/>
      <c r="L179" s="295"/>
      <c r="M179" s="295"/>
      <c r="N179" s="295"/>
      <c r="O179" s="295"/>
      <c r="P179" s="295"/>
      <c r="Q179" s="296"/>
      <c r="R179" s="227"/>
      <c r="S179" s="228">
        <f ca="1">IF(C179="",NA(),MATCH($B179&amp;$C179,'Smelter Reference List'!$J:$J,0))</f>
        <v>219</v>
      </c>
      <c r="T179" s="229"/>
      <c r="U179" s="229">
        <f t="shared" ca="1" si="6"/>
        <v>0</v>
      </c>
      <c r="V179" s="229"/>
      <c r="W179" s="229"/>
      <c r="Y179" s="223" t="str">
        <f t="shared" ca="1" si="7"/>
        <v>GoldUmicore S.A. Business Unit Precious Metals Refining</v>
      </c>
    </row>
    <row r="180" spans="1:25" s="223" customFormat="1" ht="20.25">
      <c r="A180" s="291" t="s">
        <v>1307</v>
      </c>
      <c r="B180" s="292" t="str">
        <f ca="1">IF(LEN(A180)=0,"",INDEX('Smelter Reference List'!$A:$A,MATCH($A180,'Smelter Reference List'!$E:$E,0)))</f>
        <v>Gold</v>
      </c>
      <c r="C180" s="298" t="str">
        <f ca="1">IF(LEN(A180)=0,"",INDEX('Smelter Reference List'!$C:$C,MATCH($A180,'Smelter Reference List'!$E:$E,0)))</f>
        <v>United Precious Metal Refining, Inc.</v>
      </c>
      <c r="D180" s="292" t="str">
        <f ca="1">IF(ISERROR($S180),"",OFFSET('Smelter Reference List'!$C$4,$S180-4,0)&amp;"")</f>
        <v>United Precious Metal Refining, Inc.</v>
      </c>
      <c r="E180" s="292" t="str">
        <f ca="1">IF(ISERROR($S180),"",OFFSET('Smelter Reference List'!$D$4,$S180-4,0)&amp;"")</f>
        <v>UNITED STATES OF AMERICA</v>
      </c>
      <c r="F180" s="292" t="str">
        <f ca="1">IF(ISERROR($S180),"",OFFSET('Smelter Reference List'!$E$4,$S180-4,0))</f>
        <v>CID001993</v>
      </c>
      <c r="G180" s="292" t="str">
        <f ca="1">IF(C180=$U$4,"Enter smelter details", IF(ISERROR($S180),"",OFFSET('Smelter Reference List'!$F$4,$S180-4,0)))</f>
        <v>CFSI</v>
      </c>
      <c r="H180" s="293">
        <f ca="1">IF(ISERROR($S180),"",OFFSET('Smelter Reference List'!$G$4,$S180-4,0))</f>
        <v>0</v>
      </c>
      <c r="I180" s="294" t="str">
        <f ca="1">IF(ISERROR($S180),"",OFFSET('Smelter Reference List'!$H$4,$S180-4,0))</f>
        <v>Alden</v>
      </c>
      <c r="J180" s="294" t="str">
        <f ca="1">IF(ISERROR($S180),"",OFFSET('Smelter Reference List'!$I$4,$S180-4,0))</f>
        <v>New York</v>
      </c>
      <c r="K180" s="295"/>
      <c r="L180" s="295"/>
      <c r="M180" s="295"/>
      <c r="N180" s="295"/>
      <c r="O180" s="295"/>
      <c r="P180" s="295"/>
      <c r="Q180" s="296"/>
      <c r="R180" s="227"/>
      <c r="S180" s="228">
        <f ca="1">IF(C180="",NA(),MATCH($B180&amp;$C180,'Smelter Reference List'!$J:$J,0))</f>
        <v>220</v>
      </c>
      <c r="T180" s="229"/>
      <c r="U180" s="229">
        <f t="shared" ca="1" si="6"/>
        <v>0</v>
      </c>
      <c r="V180" s="229"/>
      <c r="W180" s="229"/>
      <c r="Y180" s="223" t="str">
        <f t="shared" ca="1" si="7"/>
        <v>GoldUnited Precious Metal Refining, Inc.</v>
      </c>
    </row>
    <row r="181" spans="1:25" s="223" customFormat="1" ht="20.25">
      <c r="A181" s="291" t="s">
        <v>1308</v>
      </c>
      <c r="B181" s="292" t="str">
        <f ca="1">IF(LEN(A181)=0,"",INDEX('Smelter Reference List'!$A:$A,MATCH($A181,'Smelter Reference List'!$E:$E,0)))</f>
        <v>Gold</v>
      </c>
      <c r="C181" s="298" t="str">
        <f ca="1">IF(LEN(A181)=0,"",INDEX('Smelter Reference List'!$C:$C,MATCH($A181,'Smelter Reference List'!$E:$E,0)))</f>
        <v>Valcambi S.A.</v>
      </c>
      <c r="D181" s="292" t="str">
        <f ca="1">IF(ISERROR($S181),"",OFFSET('Smelter Reference List'!$C$4,$S181-4,0)&amp;"")</f>
        <v>Valcambi S.A.</v>
      </c>
      <c r="E181" s="292" t="str">
        <f ca="1">IF(ISERROR($S181),"",OFFSET('Smelter Reference List'!$D$4,$S181-4,0)&amp;"")</f>
        <v>SWITZERLAND</v>
      </c>
      <c r="F181" s="292" t="str">
        <f ca="1">IF(ISERROR($S181),"",OFFSET('Smelter Reference List'!$E$4,$S181-4,0))</f>
        <v>CID002003</v>
      </c>
      <c r="G181" s="292" t="str">
        <f ca="1">IF(C181=$U$4,"Enter smelter details", IF(ISERROR($S181),"",OFFSET('Smelter Reference List'!$F$4,$S181-4,0)))</f>
        <v>CFSI</v>
      </c>
      <c r="H181" s="293">
        <f ca="1">IF(ISERROR($S181),"",OFFSET('Smelter Reference List'!$G$4,$S181-4,0))</f>
        <v>0</v>
      </c>
      <c r="I181" s="294" t="str">
        <f ca="1">IF(ISERROR($S181),"",OFFSET('Smelter Reference List'!$H$4,$S181-4,0))</f>
        <v>Balerna</v>
      </c>
      <c r="J181" s="294" t="str">
        <f ca="1">IF(ISERROR($S181),"",OFFSET('Smelter Reference List'!$I$4,$S181-4,0))</f>
        <v>Ticino</v>
      </c>
      <c r="K181" s="295"/>
      <c r="L181" s="295"/>
      <c r="M181" s="295"/>
      <c r="N181" s="295"/>
      <c r="O181" s="295"/>
      <c r="P181" s="295"/>
      <c r="Q181" s="296"/>
      <c r="R181" s="227"/>
      <c r="S181" s="228">
        <f ca="1">IF(C181="",NA(),MATCH($B181&amp;$C181,'Smelter Reference List'!$J:$J,0))</f>
        <v>222</v>
      </c>
      <c r="T181" s="229"/>
      <c r="U181" s="229">
        <f t="shared" ca="1" si="6"/>
        <v>0</v>
      </c>
      <c r="V181" s="229"/>
      <c r="W181" s="229"/>
      <c r="Y181" s="223" t="str">
        <f t="shared" ca="1" si="7"/>
        <v>GoldValcambi S.A.</v>
      </c>
    </row>
    <row r="182" spans="1:25" s="223" customFormat="1" ht="20.25">
      <c r="A182" s="291" t="s">
        <v>2542</v>
      </c>
      <c r="B182" s="292" t="str">
        <f ca="1">IF(LEN(A182)=0,"",INDEX('Smelter Reference List'!$A:$A,MATCH($A182,'Smelter Reference List'!$E:$E,0)))</f>
        <v>Tungsten</v>
      </c>
      <c r="C182" s="298" t="str">
        <f ca="1">IF(LEN(A182)=0,"",INDEX('Smelter Reference List'!$C:$C,MATCH($A182,'Smelter Reference List'!$E:$E,0)))</f>
        <v>Vietnam Youngsun Tungsten Industry Co., Ltd.</v>
      </c>
      <c r="D182" s="292" t="str">
        <f ca="1">IF(ISERROR($S182),"",OFFSET('Smelter Reference List'!$C$4,$S182-4,0)&amp;"")</f>
        <v>Vietnam Youngsun Tungsten Industry Co., Ltd.</v>
      </c>
      <c r="E182" s="292" t="str">
        <f ca="1">IF(ISERROR($S182),"",OFFSET('Smelter Reference List'!$D$4,$S182-4,0)&amp;"")</f>
        <v>VIET NAM</v>
      </c>
      <c r="F182" s="292" t="str">
        <f ca="1">IF(ISERROR($S182),"",OFFSET('Smelter Reference List'!$E$4,$S182-4,0))</f>
        <v>CID002011</v>
      </c>
      <c r="G182" s="292" t="str">
        <f ca="1">IF(C182=$U$4,"Enter smelter details", IF(ISERROR($S182),"",OFFSET('Smelter Reference List'!$F$4,$S182-4,0)))</f>
        <v>CFSI</v>
      </c>
      <c r="H182" s="293">
        <f ca="1">IF(ISERROR($S182),"",OFFSET('Smelter Reference List'!$G$4,$S182-4,0))</f>
        <v>0</v>
      </c>
      <c r="I182" s="294" t="str">
        <f ca="1">IF(ISERROR($S182),"",OFFSET('Smelter Reference List'!$H$4,$S182-4,0))</f>
        <v>Halong City</v>
      </c>
      <c r="J182" s="294" t="str">
        <f ca="1">IF(ISERROR($S182),"",OFFSET('Smelter Reference List'!$I$4,$S182-4,0))</f>
        <v>Quang Ninh</v>
      </c>
      <c r="K182" s="295"/>
      <c r="L182" s="295"/>
      <c r="M182" s="295"/>
      <c r="N182" s="295"/>
      <c r="O182" s="295"/>
      <c r="P182" s="295"/>
      <c r="Q182" s="296"/>
      <c r="R182" s="227"/>
      <c r="S182" s="228">
        <f ca="1">IF(C182="",NA(),MATCH($B182&amp;$C182,'Smelter Reference List'!$J:$J,0))</f>
        <v>518</v>
      </c>
      <c r="T182" s="229"/>
      <c r="U182" s="229">
        <f t="shared" ca="1" si="6"/>
        <v>0</v>
      </c>
      <c r="V182" s="229"/>
      <c r="W182" s="229"/>
      <c r="Y182" s="223" t="str">
        <f t="shared" ca="1" si="7"/>
        <v>TungstenVietnam Youngsun Tungsten Industry Co., Ltd.</v>
      </c>
    </row>
    <row r="183" spans="1:25" s="223" customFormat="1" ht="20.25">
      <c r="A183" s="291" t="s">
        <v>3440</v>
      </c>
      <c r="B183" s="292" t="str">
        <f ca="1">IF(LEN(A183)=0,"",INDEX('Smelter Reference List'!$A:$A,MATCH($A183,'Smelter Reference List'!$E:$E,0)))</f>
        <v>Tin</v>
      </c>
      <c r="C183" s="298" t="str">
        <f ca="1">IF(LEN(A183)=0,"",INDEX('Smelter Reference List'!$C:$C,MATCH($A183,'Smelter Reference List'!$E:$E,0)))</f>
        <v>VQB Mineral and Trading Group JSC</v>
      </c>
      <c r="D183" s="292" t="str">
        <f ca="1">IF(ISERROR($S183),"",OFFSET('Smelter Reference List'!$C$4,$S183-4,0)&amp;"")</f>
        <v>VQB Mineral and Trading Group JSC</v>
      </c>
      <c r="E183" s="292" t="str">
        <f ca="1">IF(ISERROR($S183),"",OFFSET('Smelter Reference List'!$D$4,$S183-4,0)&amp;"")</f>
        <v>VIET NAM</v>
      </c>
      <c r="F183" s="292" t="str">
        <f ca="1">IF(ISERROR($S183),"",OFFSET('Smelter Reference List'!$E$4,$S183-4,0))</f>
        <v>CID002015</v>
      </c>
      <c r="G183" s="292" t="str">
        <f ca="1">IF(C183=$U$4,"Enter smelter details", IF(ISERROR($S183),"",OFFSET('Smelter Reference List'!$F$4,$S183-4,0)))</f>
        <v>CFSI</v>
      </c>
      <c r="H183" s="293">
        <f ca="1">IF(ISERROR($S183),"",OFFSET('Smelter Reference List'!$G$4,$S183-4,0))</f>
        <v>0</v>
      </c>
      <c r="I183" s="294" t="str">
        <f ca="1">IF(ISERROR($S183),"",OFFSET('Smelter Reference List'!$H$4,$S183-4,0))</f>
        <v>Nguyen Van Ngoc</v>
      </c>
      <c r="J183" s="294" t="str">
        <f ca="1">IF(ISERROR($S183),"",OFFSET('Smelter Reference List'!$I$4,$S183-4,0))</f>
        <v>Hanoi</v>
      </c>
      <c r="K183" s="295"/>
      <c r="L183" s="295"/>
      <c r="M183" s="295"/>
      <c r="N183" s="295"/>
      <c r="O183" s="295"/>
      <c r="P183" s="295"/>
      <c r="Q183" s="296"/>
      <c r="R183" s="227"/>
      <c r="S183" s="228">
        <f ca="1">IF(C183="",NA(),MATCH($B183&amp;$C183,'Smelter Reference List'!$J:$J,0))</f>
        <v>448</v>
      </c>
      <c r="T183" s="229"/>
      <c r="U183" s="229">
        <f t="shared" ca="1" si="6"/>
        <v>0</v>
      </c>
      <c r="V183" s="229"/>
      <c r="W183" s="229"/>
      <c r="Y183" s="223" t="str">
        <f t="shared" ca="1" si="7"/>
        <v>TinVQB Mineral and Trading Group JSC</v>
      </c>
    </row>
    <row r="184" spans="1:25" s="223" customFormat="1" ht="20.25">
      <c r="A184" s="291" t="s">
        <v>1309</v>
      </c>
      <c r="B184" s="292" t="str">
        <f ca="1">IF(LEN(A184)=0,"",INDEX('Smelter Reference List'!$A:$A,MATCH($A184,'Smelter Reference List'!$E:$E,0)))</f>
        <v>Gold</v>
      </c>
      <c r="C184" s="298" t="str">
        <f ca="1">IF(LEN(A184)=0,"",INDEX('Smelter Reference List'!$C:$C,MATCH($A184,'Smelter Reference List'!$E:$E,0)))</f>
        <v>Western Australian Mint trading as The Perth Mint</v>
      </c>
      <c r="D184" s="292" t="str">
        <f ca="1">IF(ISERROR($S184),"",OFFSET('Smelter Reference List'!$C$4,$S184-4,0)&amp;"")</f>
        <v>Western Australian Mint trading as The Perth Mint</v>
      </c>
      <c r="E184" s="292" t="str">
        <f ca="1">IF(ISERROR($S184),"",OFFSET('Smelter Reference List'!$D$4,$S184-4,0)&amp;"")</f>
        <v>AUSTRALIA</v>
      </c>
      <c r="F184" s="292" t="str">
        <f ca="1">IF(ISERROR($S184),"",OFFSET('Smelter Reference List'!$E$4,$S184-4,0))</f>
        <v>CID002030</v>
      </c>
      <c r="G184" s="292" t="str">
        <f ca="1">IF(C184=$U$4,"Enter smelter details", IF(ISERROR($S184),"",OFFSET('Smelter Reference List'!$F$4,$S184-4,0)))</f>
        <v>CFSI</v>
      </c>
      <c r="H184" s="293">
        <f ca="1">IF(ISERROR($S184),"",OFFSET('Smelter Reference List'!$G$4,$S184-4,0))</f>
        <v>0</v>
      </c>
      <c r="I184" s="294" t="str">
        <f ca="1">IF(ISERROR($S184),"",OFFSET('Smelter Reference List'!$H$4,$S184-4,0))</f>
        <v>Newburn</v>
      </c>
      <c r="J184" s="294" t="str">
        <f ca="1">IF(ISERROR($S184),"",OFFSET('Smelter Reference List'!$I$4,$S184-4,0))</f>
        <v>Western Australia</v>
      </c>
      <c r="K184" s="295"/>
      <c r="L184" s="295"/>
      <c r="M184" s="295"/>
      <c r="N184" s="295"/>
      <c r="O184" s="295"/>
      <c r="P184" s="295"/>
      <c r="Q184" s="296"/>
      <c r="R184" s="227"/>
      <c r="S184" s="228">
        <f ca="1">IF(C184="",NA(),MATCH($B184&amp;$C184,'Smelter Reference List'!$J:$J,0))</f>
        <v>223</v>
      </c>
      <c r="T184" s="229"/>
      <c r="U184" s="229">
        <f t="shared" ca="1" si="6"/>
        <v>0</v>
      </c>
      <c r="V184" s="229"/>
      <c r="W184" s="229"/>
      <c r="Y184" s="223" t="str">
        <f t="shared" ca="1" si="7"/>
        <v>GoldWestern Australian Mint trading as The Perth Mint</v>
      </c>
    </row>
    <row r="185" spans="1:25" s="223" customFormat="1" ht="20.25">
      <c r="A185" s="291" t="s">
        <v>1381</v>
      </c>
      <c r="B185" s="292" t="str">
        <f ca="1">IF(LEN(A185)=0,"",INDEX('Smelter Reference List'!$A:$A,MATCH($A185,'Smelter Reference List'!$E:$E,0)))</f>
        <v>Tin</v>
      </c>
      <c r="C185" s="298" t="str">
        <f ca="1">IF(LEN(A185)=0,"",INDEX('Smelter Reference List'!$C:$C,MATCH($A185,'Smelter Reference List'!$E:$E,0)))</f>
        <v>White Solder Metalurgia e Mineração Ltda.</v>
      </c>
      <c r="D185" s="292" t="str">
        <f ca="1">IF(ISERROR($S185),"",OFFSET('Smelter Reference List'!$C$4,$S185-4,0)&amp;"")</f>
        <v>White Solder Metalurgia e Mineração Ltda.</v>
      </c>
      <c r="E185" s="292" t="str">
        <f ca="1">IF(ISERROR($S185),"",OFFSET('Smelter Reference List'!$D$4,$S185-4,0)&amp;"")</f>
        <v>BRAZIL</v>
      </c>
      <c r="F185" s="292" t="str">
        <f ca="1">IF(ISERROR($S185),"",OFFSET('Smelter Reference List'!$E$4,$S185-4,0))</f>
        <v>CID002036</v>
      </c>
      <c r="G185" s="292" t="str">
        <f ca="1">IF(C185=$U$4,"Enter smelter details", IF(ISERROR($S185),"",OFFSET('Smelter Reference List'!$F$4,$S185-4,0)))</f>
        <v>CFSI</v>
      </c>
      <c r="H185" s="293">
        <f ca="1">IF(ISERROR($S185),"",OFFSET('Smelter Reference List'!$G$4,$S185-4,0))</f>
        <v>0</v>
      </c>
      <c r="I185" s="294" t="str">
        <f ca="1">IF(ISERROR($S185),"",OFFSET('Smelter Reference List'!$H$4,$S185-4,0))</f>
        <v>Ariquemes</v>
      </c>
      <c r="J185" s="294" t="str">
        <f ca="1">IF(ISERROR($S185),"",OFFSET('Smelter Reference List'!$I$4,$S185-4,0))</f>
        <v>Rondonia</v>
      </c>
      <c r="K185" s="295"/>
      <c r="L185" s="295"/>
      <c r="M185" s="295"/>
      <c r="N185" s="295"/>
      <c r="O185" s="295"/>
      <c r="P185" s="295"/>
      <c r="Q185" s="296"/>
      <c r="R185" s="227"/>
      <c r="S185" s="228">
        <f ca="1">IF(C185="",NA(),MATCH($B185&amp;$C185,'Smelter Reference List'!$J:$J,0))</f>
        <v>449</v>
      </c>
      <c r="T185" s="229"/>
      <c r="U185" s="229">
        <f t="shared" ca="1" si="6"/>
        <v>0</v>
      </c>
      <c r="V185" s="229"/>
      <c r="W185" s="229"/>
      <c r="Y185" s="223" t="str">
        <f t="shared" ca="1" si="7"/>
        <v>TinWhite Solder Metalurgia e Mineração Ltda.</v>
      </c>
    </row>
    <row r="186" spans="1:25" s="223" customFormat="1" ht="20.25">
      <c r="A186" s="291" t="s">
        <v>1397</v>
      </c>
      <c r="B186" s="292" t="str">
        <f ca="1">IF(LEN(A186)=0,"",INDEX('Smelter Reference List'!$A:$A,MATCH($A186,'Smelter Reference List'!$E:$E,0)))</f>
        <v>Tungsten</v>
      </c>
      <c r="C186" s="298" t="str">
        <f ca="1">IF(LEN(A186)=0,"",INDEX('Smelter Reference List'!$C:$C,MATCH($A186,'Smelter Reference List'!$E:$E,0)))</f>
        <v>Wolfram Bergbau und Hütten AG</v>
      </c>
      <c r="D186" s="292" t="str">
        <f ca="1">IF(ISERROR($S186),"",OFFSET('Smelter Reference List'!$C$4,$S186-4,0)&amp;"")</f>
        <v>Wolfram Bergbau und Hütten AG</v>
      </c>
      <c r="E186" s="292" t="str">
        <f ca="1">IF(ISERROR($S186),"",OFFSET('Smelter Reference List'!$D$4,$S186-4,0)&amp;"")</f>
        <v>AUSTRIA</v>
      </c>
      <c r="F186" s="292" t="str">
        <f ca="1">IF(ISERROR($S186),"",OFFSET('Smelter Reference List'!$E$4,$S186-4,0))</f>
        <v>CID002044</v>
      </c>
      <c r="G186" s="292" t="str">
        <f ca="1">IF(C186=$U$4,"Enter smelter details", IF(ISERROR($S186),"",OFFSET('Smelter Reference List'!$F$4,$S186-4,0)))</f>
        <v>CFSI</v>
      </c>
      <c r="H186" s="293">
        <f ca="1">IF(ISERROR($S186),"",OFFSET('Smelter Reference List'!$G$4,$S186-4,0))</f>
        <v>0</v>
      </c>
      <c r="I186" s="294" t="str">
        <f ca="1">IF(ISERROR($S186),"",OFFSET('Smelter Reference List'!$H$4,$S186-4,0))</f>
        <v>St. Martin i-S</v>
      </c>
      <c r="J186" s="294" t="str">
        <f ca="1">IF(ISERROR($S186),"",OFFSET('Smelter Reference List'!$I$4,$S186-4,0))</f>
        <v>Styria</v>
      </c>
      <c r="K186" s="295"/>
      <c r="L186" s="295"/>
      <c r="M186" s="295"/>
      <c r="N186" s="295"/>
      <c r="O186" s="295"/>
      <c r="P186" s="295"/>
      <c r="Q186" s="296"/>
      <c r="R186" s="227"/>
      <c r="S186" s="228">
        <f ca="1">IF(C186="",NA(),MATCH($B186&amp;$C186,'Smelter Reference List'!$J:$J,0))</f>
        <v>521</v>
      </c>
      <c r="T186" s="229"/>
      <c r="U186" s="229">
        <f t="shared" ca="1" si="6"/>
        <v>0</v>
      </c>
      <c r="V186" s="229"/>
      <c r="W186" s="229"/>
      <c r="Y186" s="223" t="str">
        <f t="shared" ca="1" si="7"/>
        <v>TungstenWolfram Bergbau und Hütten AG</v>
      </c>
    </row>
    <row r="187" spans="1:25" s="223" customFormat="1" ht="20.25">
      <c r="A187" s="291" t="s">
        <v>1398</v>
      </c>
      <c r="B187" s="292" t="str">
        <f ca="1">IF(LEN(A187)=0,"",INDEX('Smelter Reference List'!$A:$A,MATCH($A187,'Smelter Reference List'!$E:$E,0)))</f>
        <v>Tungsten</v>
      </c>
      <c r="C187" s="298" t="str">
        <f ca="1">IF(LEN(A187)=0,"",INDEX('Smelter Reference List'!$C:$C,MATCH($A187,'Smelter Reference List'!$E:$E,0)))</f>
        <v>Xiamen Tungsten Co., Ltd.</v>
      </c>
      <c r="D187" s="292" t="str">
        <f ca="1">IF(ISERROR($S187),"",OFFSET('Smelter Reference List'!$C$4,$S187-4,0)&amp;"")</f>
        <v>Xiamen Tungsten Co., Ltd.</v>
      </c>
      <c r="E187" s="292" t="str">
        <f ca="1">IF(ISERROR($S187),"",OFFSET('Smelter Reference List'!$D$4,$S187-4,0)&amp;"")</f>
        <v>CHINA</v>
      </c>
      <c r="F187" s="292" t="str">
        <f ca="1">IF(ISERROR($S187),"",OFFSET('Smelter Reference List'!$E$4,$S187-4,0))</f>
        <v>CID002082</v>
      </c>
      <c r="G187" s="292" t="str">
        <f ca="1">IF(C187=$U$4,"Enter smelter details", IF(ISERROR($S187),"",OFFSET('Smelter Reference List'!$F$4,$S187-4,0)))</f>
        <v>CFSI</v>
      </c>
      <c r="H187" s="293">
        <f ca="1">IF(ISERROR($S187),"",OFFSET('Smelter Reference List'!$G$4,$S187-4,0))</f>
        <v>0</v>
      </c>
      <c r="I187" s="294" t="str">
        <f ca="1">IF(ISERROR($S187),"",OFFSET('Smelter Reference List'!$H$4,$S187-4,0))</f>
        <v>Xiamen</v>
      </c>
      <c r="J187" s="294" t="str">
        <f ca="1">IF(ISERROR($S187),"",OFFSET('Smelter Reference List'!$I$4,$S187-4,0))</f>
        <v>Fujian</v>
      </c>
      <c r="K187" s="295"/>
      <c r="L187" s="295"/>
      <c r="M187" s="295"/>
      <c r="N187" s="295"/>
      <c r="O187" s="295"/>
      <c r="P187" s="295"/>
      <c r="Q187" s="296"/>
      <c r="R187" s="227"/>
      <c r="S187" s="228">
        <f ca="1">IF(C187="",NA(),MATCH($B187&amp;$C187,'Smelter Reference List'!$J:$J,0))</f>
        <v>525</v>
      </c>
      <c r="T187" s="229"/>
      <c r="U187" s="229">
        <f t="shared" ca="1" si="6"/>
        <v>0</v>
      </c>
      <c r="V187" s="229"/>
      <c r="W187" s="229"/>
      <c r="Y187" s="223" t="str">
        <f t="shared" ca="1" si="7"/>
        <v>TungstenXiamen Tungsten Co., Ltd.</v>
      </c>
    </row>
    <row r="188" spans="1:25" s="223" customFormat="1" ht="20.25">
      <c r="A188" s="291" t="s">
        <v>1400</v>
      </c>
      <c r="B188" s="292" t="str">
        <f ca="1">IF(LEN(A188)=0,"",INDEX('Smelter Reference List'!$A:$A,MATCH($A188,'Smelter Reference List'!$E:$E,0)))</f>
        <v>Tungsten</v>
      </c>
      <c r="C188" s="298" t="str">
        <f ca="1">IF(LEN(A188)=0,"",INDEX('Smelter Reference List'!$C:$C,MATCH($A188,'Smelter Reference List'!$E:$E,0)))</f>
        <v>Xinhai Rendan Shaoguan Tungsten Co., Ltd.</v>
      </c>
      <c r="D188" s="292" t="str">
        <f ca="1">IF(ISERROR($S188),"",OFFSET('Smelter Reference List'!$C$4,$S188-4,0)&amp;"")</f>
        <v>Xinhai Rendan Shaoguan Tungsten Co., Ltd.</v>
      </c>
      <c r="E188" s="292" t="str">
        <f ca="1">IF(ISERROR($S188),"",OFFSET('Smelter Reference List'!$D$4,$S188-4,0)&amp;"")</f>
        <v>CHINA</v>
      </c>
      <c r="F188" s="292" t="str">
        <f ca="1">IF(ISERROR($S188),"",OFFSET('Smelter Reference List'!$E$4,$S188-4,0))</f>
        <v>CID002095</v>
      </c>
      <c r="G188" s="292" t="str">
        <f ca="1">IF(C188=$U$4,"Enter smelter details", IF(ISERROR($S188),"",OFFSET('Smelter Reference List'!$F$4,$S188-4,0)))</f>
        <v>CFSI</v>
      </c>
      <c r="H188" s="293">
        <f ca="1">IF(ISERROR($S188),"",OFFSET('Smelter Reference List'!$G$4,$S188-4,0))</f>
        <v>0</v>
      </c>
      <c r="I188" s="294" t="str">
        <f ca="1">IF(ISERROR($S188),"",OFFSET('Smelter Reference List'!$H$4,$S188-4,0))</f>
        <v>Shaoguan</v>
      </c>
      <c r="J188" s="294" t="str">
        <f ca="1">IF(ISERROR($S188),"",OFFSET('Smelter Reference List'!$I$4,$S188-4,0))</f>
        <v>Guangdong</v>
      </c>
      <c r="K188" s="295"/>
      <c r="L188" s="295"/>
      <c r="M188" s="295"/>
      <c r="N188" s="295"/>
      <c r="O188" s="295"/>
      <c r="P188" s="295"/>
      <c r="Q188" s="296"/>
      <c r="R188" s="227"/>
      <c r="S188" s="228">
        <f ca="1">IF(C188="",NA(),MATCH($B188&amp;$C188,'Smelter Reference List'!$J:$J,0))</f>
        <v>527</v>
      </c>
      <c r="T188" s="229"/>
      <c r="U188" s="229">
        <f t="shared" ca="1" si="6"/>
        <v>0</v>
      </c>
      <c r="V188" s="229"/>
      <c r="W188" s="229"/>
      <c r="Y188" s="223" t="str">
        <f t="shared" ca="1" si="7"/>
        <v>TungstenXinhai Rendan Shaoguan Tungsten Co., Ltd.</v>
      </c>
    </row>
    <row r="189" spans="1:25" s="223" customFormat="1" ht="20.25">
      <c r="A189" s="291" t="s">
        <v>1310</v>
      </c>
      <c r="B189" s="292" t="str">
        <f ca="1">IF(LEN(A189)=0,"",INDEX('Smelter Reference List'!$A:$A,MATCH($A189,'Smelter Reference List'!$E:$E,0)))</f>
        <v>Gold</v>
      </c>
      <c r="C189" s="298" t="str">
        <f ca="1">IF(LEN(A189)=0,"",INDEX('Smelter Reference List'!$C:$C,MATCH($A189,'Smelter Reference List'!$E:$E,0)))</f>
        <v>Yamamoto Precious Metal Co., Ltd.</v>
      </c>
      <c r="D189" s="292" t="str">
        <f ca="1">IF(ISERROR($S189),"",OFFSET('Smelter Reference List'!$C$4,$S189-4,0)&amp;"")</f>
        <v>Yamamoto Precious Metal Co., Ltd.</v>
      </c>
      <c r="E189" s="292" t="str">
        <f ca="1">IF(ISERROR($S189),"",OFFSET('Smelter Reference List'!$D$4,$S189-4,0)&amp;"")</f>
        <v>JAPAN</v>
      </c>
      <c r="F189" s="292" t="str">
        <f ca="1">IF(ISERROR($S189),"",OFFSET('Smelter Reference List'!$E$4,$S189-4,0))</f>
        <v>CID002100</v>
      </c>
      <c r="G189" s="292" t="str">
        <f ca="1">IF(C189=$U$4,"Enter smelter details", IF(ISERROR($S189),"",OFFSET('Smelter Reference List'!$F$4,$S189-4,0)))</f>
        <v>CFSI</v>
      </c>
      <c r="H189" s="293">
        <f ca="1">IF(ISERROR($S189),"",OFFSET('Smelter Reference List'!$G$4,$S189-4,0))</f>
        <v>0</v>
      </c>
      <c r="I189" s="294" t="str">
        <f ca="1">IF(ISERROR($S189),"",OFFSET('Smelter Reference List'!$H$4,$S189-4,0))</f>
        <v>Osaka</v>
      </c>
      <c r="J189" s="294" t="str">
        <f ca="1">IF(ISERROR($S189),"",OFFSET('Smelter Reference List'!$I$4,$S189-4,0))</f>
        <v>Kansai</v>
      </c>
      <c r="K189" s="295"/>
      <c r="L189" s="295"/>
      <c r="M189" s="295"/>
      <c r="N189" s="295"/>
      <c r="O189" s="295"/>
      <c r="P189" s="295"/>
      <c r="Q189" s="296"/>
      <c r="R189" s="227"/>
      <c r="S189" s="228">
        <f ca="1">IF(C189="",NA(),MATCH($B189&amp;$C189,'Smelter Reference List'!$J:$J,0))</f>
        <v>227</v>
      </c>
      <c r="T189" s="229"/>
      <c r="U189" s="229">
        <f t="shared" ca="1" si="6"/>
        <v>0</v>
      </c>
      <c r="V189" s="229"/>
      <c r="W189" s="229"/>
      <c r="Y189" s="223" t="str">
        <f t="shared" ca="1" si="7"/>
        <v>GoldYamamoto Precious Metal Co., Ltd.</v>
      </c>
    </row>
    <row r="190" spans="1:25" s="223" customFormat="1" ht="20.25">
      <c r="A190" s="291" t="s">
        <v>1311</v>
      </c>
      <c r="B190" s="292" t="str">
        <f ca="1">IF(LEN(A190)=0,"",INDEX('Smelter Reference List'!$A:$A,MATCH($A190,'Smelter Reference List'!$E:$E,0)))</f>
        <v>Gold</v>
      </c>
      <c r="C190" s="298" t="str">
        <f ca="1">IF(LEN(A190)=0,"",INDEX('Smelter Reference List'!$C:$C,MATCH($A190,'Smelter Reference List'!$E:$E,0)))</f>
        <v>Yokohama Metal Co., Ltd.</v>
      </c>
      <c r="D190" s="292" t="str">
        <f ca="1">IF(ISERROR($S190),"",OFFSET('Smelter Reference List'!$C$4,$S190-4,0)&amp;"")</f>
        <v>Yokohama Metal Co., Ltd.</v>
      </c>
      <c r="E190" s="292" t="str">
        <f ca="1">IF(ISERROR($S190),"",OFFSET('Smelter Reference List'!$D$4,$S190-4,0)&amp;"")</f>
        <v>JAPAN</v>
      </c>
      <c r="F190" s="292" t="str">
        <f ca="1">IF(ISERROR($S190),"",OFFSET('Smelter Reference List'!$E$4,$S190-4,0))</f>
        <v>CID002129</v>
      </c>
      <c r="G190" s="292" t="str">
        <f ca="1">IF(C190=$U$4,"Enter smelter details", IF(ISERROR($S190),"",OFFSET('Smelter Reference List'!$F$4,$S190-4,0)))</f>
        <v>CFSI</v>
      </c>
      <c r="H190" s="293">
        <f ca="1">IF(ISERROR($S190),"",OFFSET('Smelter Reference List'!$G$4,$S190-4,0))</f>
        <v>0</v>
      </c>
      <c r="I190" s="294" t="str">
        <f ca="1">IF(ISERROR($S190),"",OFFSET('Smelter Reference List'!$H$4,$S190-4,0))</f>
        <v>Sagamihara</v>
      </c>
      <c r="J190" s="294" t="str">
        <f ca="1">IF(ISERROR($S190),"",OFFSET('Smelter Reference List'!$I$4,$S190-4,0))</f>
        <v>Kanagawa</v>
      </c>
      <c r="K190" s="295"/>
      <c r="L190" s="295"/>
      <c r="M190" s="295"/>
      <c r="N190" s="295"/>
      <c r="O190" s="295"/>
      <c r="P190" s="295"/>
      <c r="Q190" s="296"/>
      <c r="R190" s="227"/>
      <c r="S190" s="228">
        <f ca="1">IF(C190="",NA(),MATCH($B190&amp;$C190,'Smelter Reference List'!$J:$J,0))</f>
        <v>230</v>
      </c>
      <c r="T190" s="229"/>
      <c r="U190" s="229">
        <f t="shared" ca="1" si="6"/>
        <v>0</v>
      </c>
      <c r="V190" s="229"/>
      <c r="W190" s="229"/>
      <c r="Y190" s="223" t="str">
        <f t="shared" ca="1" si="7"/>
        <v>GoldYokohama Metal Co., Ltd.</v>
      </c>
    </row>
    <row r="191" spans="1:25" s="223" customFormat="1" ht="20.25">
      <c r="A191" s="291" t="s">
        <v>1382</v>
      </c>
      <c r="B191" s="292" t="str">
        <f ca="1">IF(LEN(A191)=0,"",INDEX('Smelter Reference List'!$A:$A,MATCH($A191,'Smelter Reference List'!$E:$E,0)))</f>
        <v>Tin</v>
      </c>
      <c r="C191" s="298" t="str">
        <f ca="1">IF(LEN(A191)=0,"",INDEX('Smelter Reference List'!$C:$C,MATCH($A191,'Smelter Reference List'!$E:$E,0)))</f>
        <v>Yunnan Chengfeng Non-ferrous Metals Co., Ltd.</v>
      </c>
      <c r="D191" s="292" t="str">
        <f ca="1">IF(ISERROR($S191),"",OFFSET('Smelter Reference List'!$C$4,$S191-4,0)&amp;"")</f>
        <v>Yunnan Chengfeng Non-ferrous Metals Co., Ltd.</v>
      </c>
      <c r="E191" s="292" t="str">
        <f ca="1">IF(ISERROR($S191),"",OFFSET('Smelter Reference List'!$D$4,$S191-4,0)&amp;"")</f>
        <v>CHINA</v>
      </c>
      <c r="F191" s="292" t="str">
        <f ca="1">IF(ISERROR($S191),"",OFFSET('Smelter Reference List'!$E$4,$S191-4,0))</f>
        <v>CID002158</v>
      </c>
      <c r="G191" s="292" t="str">
        <f ca="1">IF(C191=$U$4,"Enter smelter details", IF(ISERROR($S191),"",OFFSET('Smelter Reference List'!$F$4,$S191-4,0)))</f>
        <v>CFSI</v>
      </c>
      <c r="H191" s="293">
        <f ca="1">IF(ISERROR($S191),"",OFFSET('Smelter Reference List'!$G$4,$S191-4,0))</f>
        <v>0</v>
      </c>
      <c r="I191" s="294" t="str">
        <f ca="1">IF(ISERROR($S191),"",OFFSET('Smelter Reference List'!$H$4,$S191-4,0))</f>
        <v>Gejiu</v>
      </c>
      <c r="J191" s="294" t="str">
        <f ca="1">IF(ISERROR($S191),"",OFFSET('Smelter Reference List'!$I$4,$S191-4,0))</f>
        <v>Yunnan</v>
      </c>
      <c r="K191" s="295"/>
      <c r="L191" s="295"/>
      <c r="M191" s="295"/>
      <c r="N191" s="295"/>
      <c r="O191" s="295"/>
      <c r="P191" s="295"/>
      <c r="Q191" s="296"/>
      <c r="R191" s="227"/>
      <c r="S191" s="228">
        <f ca="1">IF(C191="",NA(),MATCH($B191&amp;$C191,'Smelter Reference List'!$J:$J,0))</f>
        <v>456</v>
      </c>
      <c r="T191" s="229"/>
      <c r="U191" s="229">
        <f t="shared" ca="1" si="6"/>
        <v>0</v>
      </c>
      <c r="V191" s="229"/>
      <c r="W191" s="229"/>
      <c r="Y191" s="223" t="str">
        <f t="shared" ca="1" si="7"/>
        <v>TinYunnan Chengfeng Non-ferrous Metals Co., Ltd.</v>
      </c>
    </row>
    <row r="192" spans="1:25" s="223" customFormat="1" ht="20.25">
      <c r="A192" s="291" t="s">
        <v>1383</v>
      </c>
      <c r="B192" s="292" t="str">
        <f ca="1">IF(LEN(A192)=0,"",INDEX('Smelter Reference List'!$A:$A,MATCH($A192,'Smelter Reference List'!$E:$E,0)))</f>
        <v>Tin</v>
      </c>
      <c r="C192" s="298" t="str">
        <f ca="1">IF(LEN(A192)=0,"",INDEX('Smelter Reference List'!$C:$C,MATCH($A192,'Smelter Reference List'!$E:$E,0)))</f>
        <v>Yunnan Tin Company Limited</v>
      </c>
      <c r="D192" s="292" t="str">
        <f ca="1">IF(ISERROR($S192),"",OFFSET('Smelter Reference List'!$C$4,$S192-4,0)&amp;"")</f>
        <v>Yunnan Tin Company Limited</v>
      </c>
      <c r="E192" s="292" t="str">
        <f ca="1">IF(ISERROR($S192),"",OFFSET('Smelter Reference List'!$D$4,$S192-4,0)&amp;"")</f>
        <v>CHINA</v>
      </c>
      <c r="F192" s="292" t="str">
        <f ca="1">IF(ISERROR($S192),"",OFFSET('Smelter Reference List'!$E$4,$S192-4,0))</f>
        <v>CID002180</v>
      </c>
      <c r="G192" s="292" t="str">
        <f ca="1">IF(C192=$U$4,"Enter smelter details", IF(ISERROR($S192),"",OFFSET('Smelter Reference List'!$F$4,$S192-4,0)))</f>
        <v>CFSI</v>
      </c>
      <c r="H192" s="293">
        <f ca="1">IF(ISERROR($S192),"",OFFSET('Smelter Reference List'!$G$4,$S192-4,0))</f>
        <v>0</v>
      </c>
      <c r="I192" s="294" t="str">
        <f ca="1">IF(ISERROR($S192),"",OFFSET('Smelter Reference List'!$H$4,$S192-4,0))</f>
        <v>Gejiu</v>
      </c>
      <c r="J192" s="294" t="str">
        <f ca="1">IF(ISERROR($S192),"",OFFSET('Smelter Reference List'!$I$4,$S192-4,0))</f>
        <v>Yunnan</v>
      </c>
      <c r="K192" s="295"/>
      <c r="L192" s="295"/>
      <c r="M192" s="295"/>
      <c r="N192" s="295"/>
      <c r="O192" s="295"/>
      <c r="P192" s="295"/>
      <c r="Q192" s="296"/>
      <c r="R192" s="227"/>
      <c r="S192" s="228">
        <f ca="1">IF(C192="",NA(),MATCH($B192&amp;$C192,'Smelter Reference List'!$J:$J,0))</f>
        <v>459</v>
      </c>
      <c r="T192" s="229"/>
      <c r="U192" s="229">
        <f t="shared" ca="1" si="6"/>
        <v>0</v>
      </c>
      <c r="V192" s="229"/>
      <c r="W192" s="229"/>
      <c r="Y192" s="223" t="str">
        <f t="shared" ca="1" si="7"/>
        <v>TinYunnan Tin Company Limited</v>
      </c>
    </row>
    <row r="193" spans="1:25" s="223" customFormat="1" ht="20.25">
      <c r="A193" s="291" t="s">
        <v>1313</v>
      </c>
      <c r="B193" s="292" t="str">
        <f ca="1">IF(LEN(A193)=0,"",INDEX('Smelter Reference List'!$A:$A,MATCH($A193,'Smelter Reference List'!$E:$E,0)))</f>
        <v>Gold</v>
      </c>
      <c r="C193" s="298" t="str">
        <f ca="1">IF(LEN(A193)=0,"",INDEX('Smelter Reference List'!$C:$C,MATCH($A193,'Smelter Reference List'!$E:$E,0)))</f>
        <v>Zhongyuan Gold Smelter of Zhongjin Gold Corporation</v>
      </c>
      <c r="D193" s="292" t="str">
        <f ca="1">IF(ISERROR($S193),"",OFFSET('Smelter Reference List'!$C$4,$S193-4,0)&amp;"")</f>
        <v>Zhongyuan Gold Smelter of Zhongjin Gold Corporation</v>
      </c>
      <c r="E193" s="292" t="str">
        <f ca="1">IF(ISERROR($S193),"",OFFSET('Smelter Reference List'!$D$4,$S193-4,0)&amp;"")</f>
        <v>CHINA</v>
      </c>
      <c r="F193" s="292" t="str">
        <f ca="1">IF(ISERROR($S193),"",OFFSET('Smelter Reference List'!$E$4,$S193-4,0))</f>
        <v>CID002224</v>
      </c>
      <c r="G193" s="292" t="str">
        <f ca="1">IF(C193=$U$4,"Enter smelter details", IF(ISERROR($S193),"",OFFSET('Smelter Reference List'!$F$4,$S193-4,0)))</f>
        <v>CFSI</v>
      </c>
      <c r="H193" s="293">
        <f ca="1">IF(ISERROR($S193),"",OFFSET('Smelter Reference List'!$G$4,$S193-4,0))</f>
        <v>0</v>
      </c>
      <c r="I193" s="294" t="str">
        <f ca="1">IF(ISERROR($S193),"",OFFSET('Smelter Reference List'!$H$4,$S193-4,0))</f>
        <v>Sanmenxia</v>
      </c>
      <c r="J193" s="294" t="str">
        <f ca="1">IF(ISERROR($S193),"",OFFSET('Smelter Reference List'!$I$4,$S193-4,0))</f>
        <v>Henan</v>
      </c>
      <c r="K193" s="295"/>
      <c r="L193" s="295"/>
      <c r="M193" s="295"/>
      <c r="N193" s="295"/>
      <c r="O193" s="295"/>
      <c r="P193" s="295"/>
      <c r="Q193" s="296"/>
      <c r="R193" s="227"/>
      <c r="S193" s="228">
        <f ca="1">IF(C193="",NA(),MATCH($B193&amp;$C193,'Smelter Reference List'!$J:$J,0))</f>
        <v>239</v>
      </c>
      <c r="T193" s="229"/>
      <c r="U193" s="229">
        <f t="shared" ca="1" si="6"/>
        <v>0</v>
      </c>
      <c r="V193" s="229"/>
      <c r="W193" s="229"/>
      <c r="Y193" s="223" t="str">
        <f t="shared" ca="1" si="7"/>
        <v>GoldZhongyuan Gold Smelter of Zhongjin Gold Corporation</v>
      </c>
    </row>
    <row r="194" spans="1:25" s="223" customFormat="1" ht="20.25">
      <c r="A194" s="291" t="s">
        <v>1338</v>
      </c>
      <c r="B194" s="292" t="str">
        <f ca="1">IF(LEN(A194)=0,"",INDEX('Smelter Reference List'!$A:$A,MATCH($A194,'Smelter Reference List'!$E:$E,0)))</f>
        <v>Tantalum</v>
      </c>
      <c r="C194" s="298" t="str">
        <f ca="1">IF(LEN(A194)=0,"",INDEX('Smelter Reference List'!$C:$C,MATCH($A194,'Smelter Reference List'!$E:$E,0)))</f>
        <v>Zhuzhou Cemented Carbide Group Co., Ltd.</v>
      </c>
      <c r="D194" s="292" t="str">
        <f ca="1">IF(ISERROR($S194),"",OFFSET('Smelter Reference List'!$C$4,$S194-4,0)&amp;"")</f>
        <v>Zhuzhou Cemented Carbide Group Co., Ltd.</v>
      </c>
      <c r="E194" s="292" t="str">
        <f ca="1">IF(ISERROR($S194),"",OFFSET('Smelter Reference List'!$D$4,$S194-4,0)&amp;"")</f>
        <v>CHINA</v>
      </c>
      <c r="F194" s="292" t="str">
        <f ca="1">IF(ISERROR($S194),"",OFFSET('Smelter Reference List'!$E$4,$S194-4,0))</f>
        <v>CID002232</v>
      </c>
      <c r="G194" s="292" t="str">
        <f ca="1">IF(C194=$U$4,"Enter smelter details", IF(ISERROR($S194),"",OFFSET('Smelter Reference List'!$F$4,$S194-4,0)))</f>
        <v>CFSI</v>
      </c>
      <c r="H194" s="293">
        <f ca="1">IF(ISERROR($S194),"",OFFSET('Smelter Reference List'!$G$4,$S194-4,0))</f>
        <v>0</v>
      </c>
      <c r="I194" s="294" t="str">
        <f ca="1">IF(ISERROR($S194),"",OFFSET('Smelter Reference List'!$H$4,$S194-4,0))</f>
        <v>Zhuzhou</v>
      </c>
      <c r="J194" s="294" t="str">
        <f ca="1">IF(ISERROR($S194),"",OFFSET('Smelter Reference List'!$I$4,$S194-4,0))</f>
        <v>Hunan</v>
      </c>
      <c r="K194" s="295"/>
      <c r="L194" s="295"/>
      <c r="M194" s="295"/>
      <c r="N194" s="295"/>
      <c r="O194" s="295"/>
      <c r="P194" s="295"/>
      <c r="Q194" s="296"/>
      <c r="R194" s="227"/>
      <c r="S194" s="228">
        <f ca="1">IF(C194="",NA(),MATCH($B194&amp;$C194,'Smelter Reference List'!$J:$J,0))</f>
        <v>306</v>
      </c>
      <c r="T194" s="229"/>
      <c r="U194" s="229">
        <f t="shared" ca="1" si="6"/>
        <v>0</v>
      </c>
      <c r="V194" s="229"/>
      <c r="W194" s="229"/>
      <c r="Y194" s="223" t="str">
        <f t="shared" ca="1" si="7"/>
        <v>TantalumZhuzhou Cemented Carbide Group Co., Ltd.</v>
      </c>
    </row>
    <row r="195" spans="1:25" s="223" customFormat="1" ht="20.25">
      <c r="A195" s="291" t="s">
        <v>1314</v>
      </c>
      <c r="B195" s="292" t="str">
        <f ca="1">IF(LEN(A195)=0,"",INDEX('Smelter Reference List'!$A:$A,MATCH($A195,'Smelter Reference List'!$E:$E,0)))</f>
        <v>Gold</v>
      </c>
      <c r="C195" s="298" t="str">
        <f ca="1">IF(LEN(A195)=0,"",INDEX('Smelter Reference List'!$C:$C,MATCH($A195,'Smelter Reference List'!$E:$E,0)))</f>
        <v>Zijin Mining Group Co., Ltd. Gold Refinery</v>
      </c>
      <c r="D195" s="292" t="str">
        <f ca="1">IF(ISERROR($S195),"",OFFSET('Smelter Reference List'!$C$4,$S195-4,0)&amp;"")</f>
        <v>Zijin Mining Group Co., Ltd. Gold Refinery</v>
      </c>
      <c r="E195" s="292" t="str">
        <f ca="1">IF(ISERROR($S195),"",OFFSET('Smelter Reference List'!$D$4,$S195-4,0)&amp;"")</f>
        <v>CHINA</v>
      </c>
      <c r="F195" s="292" t="str">
        <f ca="1">IF(ISERROR($S195),"",OFFSET('Smelter Reference List'!$E$4,$S195-4,0))</f>
        <v>CID002243</v>
      </c>
      <c r="G195" s="292" t="str">
        <f ca="1">IF(C195=$U$4,"Enter smelter details", IF(ISERROR($S195),"",OFFSET('Smelter Reference List'!$F$4,$S195-4,0)))</f>
        <v>CFSI</v>
      </c>
      <c r="H195" s="293">
        <f ca="1">IF(ISERROR($S195),"",OFFSET('Smelter Reference List'!$G$4,$S195-4,0))</f>
        <v>0</v>
      </c>
      <c r="I195" s="294" t="str">
        <f ca="1">IF(ISERROR($S195),"",OFFSET('Smelter Reference List'!$H$4,$S195-4,0))</f>
        <v>Shanghang</v>
      </c>
      <c r="J195" s="294" t="str">
        <f ca="1">IF(ISERROR($S195),"",OFFSET('Smelter Reference List'!$I$4,$S195-4,0))</f>
        <v>Fujian</v>
      </c>
      <c r="K195" s="295"/>
      <c r="L195" s="295"/>
      <c r="M195" s="295"/>
      <c r="N195" s="295"/>
      <c r="O195" s="295"/>
      <c r="P195" s="295"/>
      <c r="Q195" s="296"/>
      <c r="R195" s="227"/>
      <c r="S195" s="228">
        <f ca="1">IF(C195="",NA(),MATCH($B195&amp;$C195,'Smelter Reference List'!$J:$J,0))</f>
        <v>241</v>
      </c>
      <c r="T195" s="229"/>
      <c r="U195" s="229">
        <f t="shared" ca="1" si="6"/>
        <v>0</v>
      </c>
      <c r="V195" s="229"/>
      <c r="W195" s="229"/>
      <c r="Y195" s="223" t="str">
        <f t="shared" ca="1" si="7"/>
        <v>GoldZijin Mining Group Co., Ltd. Gold Refinery</v>
      </c>
    </row>
    <row r="196" spans="1:25" s="223" customFormat="1" ht="20.25">
      <c r="A196" s="291" t="s">
        <v>77</v>
      </c>
      <c r="B196" s="292" t="str">
        <f ca="1">IF(LEN(A196)=0,"",INDEX('Smelter Reference List'!$A:$A,MATCH($A196,'Smelter Reference List'!$E:$E,0)))</f>
        <v>Tantalum</v>
      </c>
      <c r="C196" s="298" t="str">
        <f ca="1">IF(LEN(A196)=0,"",INDEX('Smelter Reference List'!$C:$C,MATCH($A196,'Smelter Reference List'!$E:$E,0)))</f>
        <v>Yichun Jin Yang Rare Metal Co., Ltd.</v>
      </c>
      <c r="D196" s="292" t="str">
        <f ca="1">IF(ISERROR($S196),"",OFFSET('Smelter Reference List'!$C$4,$S196-4,0)&amp;"")</f>
        <v>Yichun Jin Yang Rare Metal Co., Ltd.</v>
      </c>
      <c r="E196" s="292" t="str">
        <f ca="1">IF(ISERROR($S196),"",OFFSET('Smelter Reference List'!$D$4,$S196-4,0)&amp;"")</f>
        <v>CHINA</v>
      </c>
      <c r="F196" s="292" t="str">
        <f ca="1">IF(ISERROR($S196),"",OFFSET('Smelter Reference List'!$E$4,$S196-4,0))</f>
        <v>CID002307</v>
      </c>
      <c r="G196" s="292" t="str">
        <f ca="1">IF(C196=$U$4,"Enter smelter details", IF(ISERROR($S196),"",OFFSET('Smelter Reference List'!$F$4,$S196-4,0)))</f>
        <v>CFSI</v>
      </c>
      <c r="H196" s="293">
        <f ca="1">IF(ISERROR($S196),"",OFFSET('Smelter Reference List'!$G$4,$S196-4,0))</f>
        <v>0</v>
      </c>
      <c r="I196" s="294" t="str">
        <f ca="1">IF(ISERROR($S196),"",OFFSET('Smelter Reference List'!$H$4,$S196-4,0))</f>
        <v>Yifeng</v>
      </c>
      <c r="J196" s="294" t="str">
        <f ca="1">IF(ISERROR($S196),"",OFFSET('Smelter Reference List'!$I$4,$S196-4,0))</f>
        <v>Jiangxi</v>
      </c>
      <c r="K196" s="295"/>
      <c r="L196" s="295"/>
      <c r="M196" s="295"/>
      <c r="N196" s="295"/>
      <c r="O196" s="295"/>
      <c r="P196" s="295"/>
      <c r="Q196" s="296"/>
      <c r="R196" s="227"/>
      <c r="S196" s="228">
        <f ca="1">IF(C196="",NA(),MATCH($B196&amp;$C196,'Smelter Reference List'!$J:$J,0))</f>
        <v>303</v>
      </c>
      <c r="T196" s="229"/>
      <c r="U196" s="229">
        <f t="shared" ca="1" si="6"/>
        <v>0</v>
      </c>
      <c r="V196" s="229"/>
      <c r="W196" s="229"/>
      <c r="Y196" s="223" t="str">
        <f t="shared" ca="1" si="7"/>
        <v>TantalumYichun Jin Yang Rare Metal Co., Ltd.</v>
      </c>
    </row>
    <row r="197" spans="1:25" s="223" customFormat="1" ht="20.25">
      <c r="A197" s="291" t="s">
        <v>1240</v>
      </c>
      <c r="B197" s="292" t="str">
        <f ca="1">IF(LEN(A197)=0,"",INDEX('Smelter Reference List'!$A:$A,MATCH($A197,'Smelter Reference List'!$E:$E,0)))</f>
        <v>Gold</v>
      </c>
      <c r="C197" s="298" t="str">
        <f ca="1">IF(LEN(A197)=0,"",INDEX('Smelter Reference List'!$C:$C,MATCH($A197,'Smelter Reference List'!$E:$E,0)))</f>
        <v>Guangdong Jinding Gold Limited</v>
      </c>
      <c r="D197" s="292" t="str">
        <f ca="1">IF(ISERROR($S197),"",OFFSET('Smelter Reference List'!$C$4,$S197-4,0)&amp;"")</f>
        <v>Guangdong Jinding Gold Limited</v>
      </c>
      <c r="E197" s="292" t="str">
        <f ca="1">IF(ISERROR($S197),"",OFFSET('Smelter Reference List'!$D$4,$S197-4,0)&amp;"")</f>
        <v>CHINA</v>
      </c>
      <c r="F197" s="292" t="str">
        <f ca="1">IF(ISERROR($S197),"",OFFSET('Smelter Reference List'!$E$4,$S197-4,0))</f>
        <v>CID002312</v>
      </c>
      <c r="G197" s="292" t="str">
        <f ca="1">IF(C197=$U$4,"Enter smelter details", IF(ISERROR($S197),"",OFFSET('Smelter Reference List'!$F$4,$S197-4,0)))</f>
        <v>CFSI</v>
      </c>
      <c r="H197" s="293">
        <f ca="1">IF(ISERROR($S197),"",OFFSET('Smelter Reference List'!$G$4,$S197-4,0))</f>
        <v>0</v>
      </c>
      <c r="I197" s="294" t="str">
        <f ca="1">IF(ISERROR($S197),"",OFFSET('Smelter Reference List'!$H$4,$S197-4,0))</f>
        <v>Guangzhou</v>
      </c>
      <c r="J197" s="294" t="str">
        <f ca="1">IF(ISERROR($S197),"",OFFSET('Smelter Reference List'!$I$4,$S197-4,0))</f>
        <v>Guangdong</v>
      </c>
      <c r="K197" s="295"/>
      <c r="L197" s="295"/>
      <c r="M197" s="295"/>
      <c r="N197" s="295"/>
      <c r="O197" s="295"/>
      <c r="P197" s="295"/>
      <c r="Q197" s="296"/>
      <c r="R197" s="227"/>
      <c r="S197" s="228">
        <f ca="1">IF(C197="",NA(),MATCH($B197&amp;$C197,'Smelter Reference List'!$J:$J,0))</f>
        <v>68</v>
      </c>
      <c r="T197" s="229"/>
      <c r="U197" s="229">
        <f t="shared" ref="U197:U260" ca="1" si="8">IF(AND(C197="Smelter not listed",OR(LEN(D197)=0,LEN(E197)=0)),1,0)</f>
        <v>0</v>
      </c>
      <c r="V197" s="229"/>
      <c r="W197" s="229"/>
      <c r="Y197" s="223" t="str">
        <f t="shared" ref="Y197:Y260" ca="1" si="9">B197&amp;C197</f>
        <v>GoldGuangdong Jinding Gold Limited</v>
      </c>
    </row>
    <row r="198" spans="1:25" s="223" customFormat="1" ht="20.25">
      <c r="A198" s="291" t="s">
        <v>1401</v>
      </c>
      <c r="B198" s="292" t="str">
        <f ca="1">IF(LEN(A198)=0,"",INDEX('Smelter Reference List'!$A:$A,MATCH($A198,'Smelter Reference List'!$E:$E,0)))</f>
        <v>Tungsten</v>
      </c>
      <c r="C198" s="298" t="str">
        <f ca="1">IF(LEN(A198)=0,"",INDEX('Smelter Reference List'!$C:$C,MATCH($A198,'Smelter Reference List'!$E:$E,0)))</f>
        <v>Jiangxi Minmetals Gao'an Non-ferrous Metals Co., Ltd.</v>
      </c>
      <c r="D198" s="292" t="str">
        <f ca="1">IF(ISERROR($S198),"",OFFSET('Smelter Reference List'!$C$4,$S198-4,0)&amp;"")</f>
        <v>Jiangxi Minmetals Gao'an Non-ferrous Metals Co., Ltd.</v>
      </c>
      <c r="E198" s="292" t="str">
        <f ca="1">IF(ISERROR($S198),"",OFFSET('Smelter Reference List'!$D$4,$S198-4,0)&amp;"")</f>
        <v>CHINA</v>
      </c>
      <c r="F198" s="292" t="str">
        <f ca="1">IF(ISERROR($S198),"",OFFSET('Smelter Reference List'!$E$4,$S198-4,0))</f>
        <v>CID002313</v>
      </c>
      <c r="G198" s="292" t="str">
        <f ca="1">IF(C198=$U$4,"Enter smelter details", IF(ISERROR($S198),"",OFFSET('Smelter Reference List'!$F$4,$S198-4,0)))</f>
        <v>CFSI</v>
      </c>
      <c r="H198" s="293">
        <f ca="1">IF(ISERROR($S198),"",OFFSET('Smelter Reference List'!$G$4,$S198-4,0))</f>
        <v>0</v>
      </c>
      <c r="I198" s="294" t="str">
        <f ca="1">IF(ISERROR($S198),"",OFFSET('Smelter Reference List'!$H$4,$S198-4,0))</f>
        <v>Gao'an</v>
      </c>
      <c r="J198" s="294" t="str">
        <f ca="1">IF(ISERROR($S198),"",OFFSET('Smelter Reference List'!$I$4,$S198-4,0))</f>
        <v>Jiangxi</v>
      </c>
      <c r="K198" s="295"/>
      <c r="L198" s="295"/>
      <c r="M198" s="295"/>
      <c r="N198" s="295"/>
      <c r="O198" s="295"/>
      <c r="P198" s="295"/>
      <c r="Q198" s="296"/>
      <c r="R198" s="227"/>
      <c r="S198" s="228">
        <f ca="1">IF(C198="",NA(),MATCH($B198&amp;$C198,'Smelter Reference List'!$J:$J,0))</f>
        <v>500</v>
      </c>
      <c r="T198" s="229"/>
      <c r="U198" s="229">
        <f t="shared" ca="1" si="8"/>
        <v>0</v>
      </c>
      <c r="V198" s="229"/>
      <c r="W198" s="229"/>
      <c r="Y198" s="223" t="str">
        <f t="shared" ca="1" si="9"/>
        <v>TungstenJiangxi Minmetals Gao'an Non-ferrous Metals Co., Ltd.</v>
      </c>
    </row>
    <row r="199" spans="1:25" s="223" customFormat="1" ht="20.25">
      <c r="A199" s="291" t="s">
        <v>205</v>
      </c>
      <c r="B199" s="292" t="str">
        <f ca="1">IF(LEN(A199)=0,"",INDEX('Smelter Reference List'!$A:$A,MATCH($A199,'Smelter Reference List'!$E:$E,0)))</f>
        <v>Gold</v>
      </c>
      <c r="C199" s="298" t="str">
        <f ca="1">IF(LEN(A199)=0,"",INDEX('Smelter Reference List'!$C:$C,MATCH($A199,'Smelter Reference List'!$E:$E,0)))</f>
        <v>Umicore Precious Metals Thailand</v>
      </c>
      <c r="D199" s="292" t="str">
        <f ca="1">IF(ISERROR($S199),"",OFFSET('Smelter Reference List'!$C$4,$S199-4,0)&amp;"")</f>
        <v>Umicore Precious Metals Thailand</v>
      </c>
      <c r="E199" s="292" t="str">
        <f ca="1">IF(ISERROR($S199),"",OFFSET('Smelter Reference List'!$D$4,$S199-4,0)&amp;"")</f>
        <v>THAILAND</v>
      </c>
      <c r="F199" s="292" t="str">
        <f ca="1">IF(ISERROR($S199),"",OFFSET('Smelter Reference List'!$E$4,$S199-4,0))</f>
        <v>CID002314</v>
      </c>
      <c r="G199" s="292" t="str">
        <f ca="1">IF(C199=$U$4,"Enter smelter details", IF(ISERROR($S199),"",OFFSET('Smelter Reference List'!$F$4,$S199-4,0)))</f>
        <v>CFSI</v>
      </c>
      <c r="H199" s="293">
        <f ca="1">IF(ISERROR($S199),"",OFFSET('Smelter Reference List'!$G$4,$S199-4,0))</f>
        <v>0</v>
      </c>
      <c r="I199" s="294" t="str">
        <f ca="1">IF(ISERROR($S199),"",OFFSET('Smelter Reference List'!$H$4,$S199-4,0))</f>
        <v>Dokmai</v>
      </c>
      <c r="J199" s="294" t="str">
        <f ca="1">IF(ISERROR($S199),"",OFFSET('Smelter Reference List'!$I$4,$S199-4,0))</f>
        <v>Pravet</v>
      </c>
      <c r="K199" s="295"/>
      <c r="L199" s="295"/>
      <c r="M199" s="295"/>
      <c r="N199" s="295"/>
      <c r="O199" s="295"/>
      <c r="P199" s="295"/>
      <c r="Q199" s="296"/>
      <c r="R199" s="227"/>
      <c r="S199" s="228">
        <f ca="1">IF(C199="",NA(),MATCH($B199&amp;$C199,'Smelter Reference List'!$J:$J,0))</f>
        <v>218</v>
      </c>
      <c r="T199" s="229"/>
      <c r="U199" s="229">
        <f t="shared" ca="1" si="8"/>
        <v>0</v>
      </c>
      <c r="V199" s="229"/>
      <c r="W199" s="229"/>
      <c r="Y199" s="223" t="str">
        <f t="shared" ca="1" si="9"/>
        <v>GoldUmicore Precious Metals Thailand</v>
      </c>
    </row>
    <row r="200" spans="1:25" s="223" customFormat="1" ht="20.25">
      <c r="A200" s="291" t="s">
        <v>198</v>
      </c>
      <c r="B200" s="292" t="str">
        <f ca="1">IF(LEN(A200)=0,"",INDEX('Smelter Reference List'!$A:$A,MATCH($A200,'Smelter Reference List'!$E:$E,0)))</f>
        <v>Tungsten</v>
      </c>
      <c r="C200" s="298" t="str">
        <f ca="1">IF(LEN(A200)=0,"",INDEX('Smelter Reference List'!$C:$C,MATCH($A200,'Smelter Reference List'!$E:$E,0)))</f>
        <v>Ganzhou Jiangwu Ferrotungsten Co., Ltd.</v>
      </c>
      <c r="D200" s="292" t="str">
        <f ca="1">IF(ISERROR($S200),"",OFFSET('Smelter Reference List'!$C$4,$S200-4,0)&amp;"")</f>
        <v>Ganzhou Jiangwu Ferrotungsten Co., Ltd.</v>
      </c>
      <c r="E200" s="292" t="str">
        <f ca="1">IF(ISERROR($S200),"",OFFSET('Smelter Reference List'!$D$4,$S200-4,0)&amp;"")</f>
        <v>CHINA</v>
      </c>
      <c r="F200" s="292" t="str">
        <f ca="1">IF(ISERROR($S200),"",OFFSET('Smelter Reference List'!$E$4,$S200-4,0))</f>
        <v>CID002315</v>
      </c>
      <c r="G200" s="292" t="str">
        <f ca="1">IF(C200=$U$4,"Enter smelter details", IF(ISERROR($S200),"",OFFSET('Smelter Reference List'!$F$4,$S200-4,0)))</f>
        <v>CFSI</v>
      </c>
      <c r="H200" s="293">
        <f ca="1">IF(ISERROR($S200),"",OFFSET('Smelter Reference List'!$G$4,$S200-4,0))</f>
        <v>0</v>
      </c>
      <c r="I200" s="294" t="str">
        <f ca="1">IF(ISERROR($S200),"",OFFSET('Smelter Reference List'!$H$4,$S200-4,0))</f>
        <v>Ganzhou</v>
      </c>
      <c r="J200" s="294" t="str">
        <f ca="1">IF(ISERROR($S200),"",OFFSET('Smelter Reference List'!$I$4,$S200-4,0))</f>
        <v>Jiangxi</v>
      </c>
      <c r="K200" s="295"/>
      <c r="L200" s="295"/>
      <c r="M200" s="295"/>
      <c r="N200" s="295"/>
      <c r="O200" s="295"/>
      <c r="P200" s="295"/>
      <c r="Q200" s="296"/>
      <c r="R200" s="227"/>
      <c r="S200" s="228">
        <f ca="1">IF(C200="",NA(),MATCH($B200&amp;$C200,'Smelter Reference List'!$J:$J,0))</f>
        <v>482</v>
      </c>
      <c r="T200" s="229"/>
      <c r="U200" s="229">
        <f t="shared" ca="1" si="8"/>
        <v>0</v>
      </c>
      <c r="V200" s="229"/>
      <c r="W200" s="229"/>
      <c r="Y200" s="223" t="str">
        <f t="shared" ca="1" si="9"/>
        <v>TungstenGanzhou Jiangwu Ferrotungsten Co., Ltd.</v>
      </c>
    </row>
    <row r="201" spans="1:25" s="223" customFormat="1" ht="20.25">
      <c r="A201" s="291" t="s">
        <v>199</v>
      </c>
      <c r="B201" s="292" t="str">
        <f ca="1">IF(LEN(A201)=0,"",INDEX('Smelter Reference List'!$A:$A,MATCH($A201,'Smelter Reference List'!$E:$E,0)))</f>
        <v>Tungsten</v>
      </c>
      <c r="C201" s="298" t="str">
        <f ca="1">IF(LEN(A201)=0,"",INDEX('Smelter Reference List'!$C:$C,MATCH($A201,'Smelter Reference List'!$E:$E,0)))</f>
        <v>Jiangxi Yaosheng Tungsten Co., Ltd.</v>
      </c>
      <c r="D201" s="292" t="str">
        <f ca="1">IF(ISERROR($S201),"",OFFSET('Smelter Reference List'!$C$4,$S201-4,0)&amp;"")</f>
        <v>Jiangxi Yaosheng Tungsten Co., Ltd.</v>
      </c>
      <c r="E201" s="292" t="str">
        <f ca="1">IF(ISERROR($S201),"",OFFSET('Smelter Reference List'!$D$4,$S201-4,0)&amp;"")</f>
        <v>CHINA</v>
      </c>
      <c r="F201" s="292" t="str">
        <f ca="1">IF(ISERROR($S201),"",OFFSET('Smelter Reference List'!$E$4,$S201-4,0))</f>
        <v>CID002316</v>
      </c>
      <c r="G201" s="292" t="str">
        <f ca="1">IF(C201=$U$4,"Enter smelter details", IF(ISERROR($S201),"",OFFSET('Smelter Reference List'!$F$4,$S201-4,0)))</f>
        <v>CFSI</v>
      </c>
      <c r="H201" s="293">
        <f ca="1">IF(ISERROR($S201),"",OFFSET('Smelter Reference List'!$G$4,$S201-4,0))</f>
        <v>0</v>
      </c>
      <c r="I201" s="294" t="str">
        <f ca="1">IF(ISERROR($S201),"",OFFSET('Smelter Reference List'!$H$4,$S201-4,0))</f>
        <v>Ganzhou</v>
      </c>
      <c r="J201" s="294" t="str">
        <f ca="1">IF(ISERROR($S201),"",OFFSET('Smelter Reference List'!$I$4,$S201-4,0))</f>
        <v>Jiangxi</v>
      </c>
      <c r="K201" s="295"/>
      <c r="L201" s="295"/>
      <c r="M201" s="295"/>
      <c r="N201" s="295"/>
      <c r="O201" s="295"/>
      <c r="P201" s="295"/>
      <c r="Q201" s="296"/>
      <c r="R201" s="227"/>
      <c r="S201" s="228">
        <f ca="1">IF(C201="",NA(),MATCH($B201&amp;$C201,'Smelter Reference List'!$J:$J,0))</f>
        <v>506</v>
      </c>
      <c r="T201" s="229"/>
      <c r="U201" s="229">
        <f t="shared" ca="1" si="8"/>
        <v>0</v>
      </c>
      <c r="V201" s="229"/>
      <c r="W201" s="229"/>
      <c r="Y201" s="223" t="str">
        <f t="shared" ca="1" si="9"/>
        <v>TungstenJiangxi Yaosheng Tungsten Co., Ltd.</v>
      </c>
    </row>
    <row r="202" spans="1:25" s="223" customFormat="1" ht="20.25">
      <c r="A202" s="291" t="s">
        <v>200</v>
      </c>
      <c r="B202" s="292" t="str">
        <f ca="1">IF(LEN(A202)=0,"",INDEX('Smelter Reference List'!$A:$A,MATCH($A202,'Smelter Reference List'!$E:$E,0)))</f>
        <v>Tungsten</v>
      </c>
      <c r="C202" s="298" t="str">
        <f ca="1">IF(LEN(A202)=0,"",INDEX('Smelter Reference List'!$C:$C,MATCH($A202,'Smelter Reference List'!$E:$E,0)))</f>
        <v>Jiangxi Xinsheng Tungsten Industry Co., Ltd.</v>
      </c>
      <c r="D202" s="292" t="str">
        <f ca="1">IF(ISERROR($S202),"",OFFSET('Smelter Reference List'!$C$4,$S202-4,0)&amp;"")</f>
        <v>Jiangxi Xinsheng Tungsten Industry Co., Ltd.</v>
      </c>
      <c r="E202" s="292" t="str">
        <f ca="1">IF(ISERROR($S202),"",OFFSET('Smelter Reference List'!$D$4,$S202-4,0)&amp;"")</f>
        <v>CHINA</v>
      </c>
      <c r="F202" s="292" t="str">
        <f ca="1">IF(ISERROR($S202),"",OFFSET('Smelter Reference List'!$E$4,$S202-4,0))</f>
        <v>CID002317</v>
      </c>
      <c r="G202" s="292" t="str">
        <f ca="1">IF(C202=$U$4,"Enter smelter details", IF(ISERROR($S202),"",OFFSET('Smelter Reference List'!$F$4,$S202-4,0)))</f>
        <v>CFSI</v>
      </c>
      <c r="H202" s="293">
        <f ca="1">IF(ISERROR($S202),"",OFFSET('Smelter Reference List'!$G$4,$S202-4,0))</f>
        <v>0</v>
      </c>
      <c r="I202" s="294" t="str">
        <f ca="1">IF(ISERROR($S202),"",OFFSET('Smelter Reference List'!$H$4,$S202-4,0))</f>
        <v>Ganzhou</v>
      </c>
      <c r="J202" s="294" t="str">
        <f ca="1">IF(ISERROR($S202),"",OFFSET('Smelter Reference List'!$I$4,$S202-4,0))</f>
        <v>Jiangxi</v>
      </c>
      <c r="K202" s="295"/>
      <c r="L202" s="295"/>
      <c r="M202" s="295"/>
      <c r="N202" s="295"/>
      <c r="O202" s="295"/>
      <c r="P202" s="295"/>
      <c r="Q202" s="296"/>
      <c r="R202" s="227"/>
      <c r="S202" s="228">
        <f ca="1">IF(C202="",NA(),MATCH($B202&amp;$C202,'Smelter Reference List'!$J:$J,0))</f>
        <v>504</v>
      </c>
      <c r="T202" s="229"/>
      <c r="U202" s="229">
        <f t="shared" ca="1" si="8"/>
        <v>0</v>
      </c>
      <c r="V202" s="229"/>
      <c r="W202" s="229"/>
      <c r="Y202" s="223" t="str">
        <f t="shared" ca="1" si="9"/>
        <v>TungstenJiangxi Xinsheng Tungsten Industry Co., Ltd.</v>
      </c>
    </row>
    <row r="203" spans="1:25" s="223" customFormat="1" ht="20.25">
      <c r="A203" s="291" t="s">
        <v>201</v>
      </c>
      <c r="B203" s="292" t="str">
        <f ca="1">IF(LEN(A203)=0,"",INDEX('Smelter Reference List'!$A:$A,MATCH($A203,'Smelter Reference List'!$E:$E,0)))</f>
        <v>Tungsten</v>
      </c>
      <c r="C203" s="298" t="str">
        <f ca="1">IF(LEN(A203)=0,"",INDEX('Smelter Reference List'!$C:$C,MATCH($A203,'Smelter Reference List'!$E:$E,0)))</f>
        <v>Jiangxi Tonggu Non-ferrous Metallurgical &amp; Chemical Co., Ltd.</v>
      </c>
      <c r="D203" s="292" t="str">
        <f ca="1">IF(ISERROR($S203),"",OFFSET('Smelter Reference List'!$C$4,$S203-4,0)&amp;"")</f>
        <v>Jiangxi Tonggu Non-ferrous Metallurgical &amp; Chemical Co., Ltd.</v>
      </c>
      <c r="E203" s="292" t="str">
        <f ca="1">IF(ISERROR($S203),"",OFFSET('Smelter Reference List'!$D$4,$S203-4,0)&amp;"")</f>
        <v>CHINA</v>
      </c>
      <c r="F203" s="292" t="str">
        <f ca="1">IF(ISERROR($S203),"",OFFSET('Smelter Reference List'!$E$4,$S203-4,0))</f>
        <v>CID002318</v>
      </c>
      <c r="G203" s="292" t="str">
        <f ca="1">IF(C203=$U$4,"Enter smelter details", IF(ISERROR($S203),"",OFFSET('Smelter Reference List'!$F$4,$S203-4,0)))</f>
        <v>CFSI</v>
      </c>
      <c r="H203" s="293">
        <f ca="1">IF(ISERROR($S203),"",OFFSET('Smelter Reference List'!$G$4,$S203-4,0))</f>
        <v>0</v>
      </c>
      <c r="I203" s="294" t="str">
        <f ca="1">IF(ISERROR($S203),"",OFFSET('Smelter Reference List'!$H$4,$S203-4,0))</f>
        <v>Tonggu</v>
      </c>
      <c r="J203" s="294" t="str">
        <f ca="1">IF(ISERROR($S203),"",OFFSET('Smelter Reference List'!$I$4,$S203-4,0))</f>
        <v>Jiangxi</v>
      </c>
      <c r="K203" s="295"/>
      <c r="L203" s="295"/>
      <c r="M203" s="295"/>
      <c r="N203" s="295"/>
      <c r="O203" s="295"/>
      <c r="P203" s="295"/>
      <c r="Q203" s="296"/>
      <c r="R203" s="227"/>
      <c r="S203" s="228">
        <f ca="1">IF(C203="",NA(),MATCH($B203&amp;$C203,'Smelter Reference List'!$J:$J,0))</f>
        <v>501</v>
      </c>
      <c r="T203" s="229"/>
      <c r="U203" s="229">
        <f t="shared" ca="1" si="8"/>
        <v>0</v>
      </c>
      <c r="V203" s="229"/>
      <c r="W203" s="229"/>
      <c r="Y203" s="223" t="str">
        <f t="shared" ca="1" si="9"/>
        <v>TungstenJiangxi Tonggu Non-ferrous Metallurgical &amp; Chemical Co., Ltd.</v>
      </c>
    </row>
    <row r="204" spans="1:25" s="223" customFormat="1" ht="20.25">
      <c r="A204" s="291" t="s">
        <v>202</v>
      </c>
      <c r="B204" s="292" t="str">
        <f ca="1">IF(LEN(A204)=0,"",INDEX('Smelter Reference List'!$A:$A,MATCH($A204,'Smelter Reference List'!$E:$E,0)))</f>
        <v>Tungsten</v>
      </c>
      <c r="C204" s="298" t="str">
        <f ca="1">IF(LEN(A204)=0,"",INDEX('Smelter Reference List'!$C:$C,MATCH($A204,'Smelter Reference List'!$E:$E,0)))</f>
        <v>Malipo Haiyu Tungsten Co., Ltd.</v>
      </c>
      <c r="D204" s="292" t="str">
        <f ca="1">IF(ISERROR($S204),"",OFFSET('Smelter Reference List'!$C$4,$S204-4,0)&amp;"")</f>
        <v>Malipo Haiyu Tungsten Co., Ltd.</v>
      </c>
      <c r="E204" s="292" t="str">
        <f ca="1">IF(ISERROR($S204),"",OFFSET('Smelter Reference List'!$D$4,$S204-4,0)&amp;"")</f>
        <v>CHINA</v>
      </c>
      <c r="F204" s="292" t="str">
        <f ca="1">IF(ISERROR($S204),"",OFFSET('Smelter Reference List'!$E$4,$S204-4,0))</f>
        <v>CID002319</v>
      </c>
      <c r="G204" s="292" t="str">
        <f ca="1">IF(C204=$U$4,"Enter smelter details", IF(ISERROR($S204),"",OFFSET('Smelter Reference List'!$F$4,$S204-4,0)))</f>
        <v>CFSI</v>
      </c>
      <c r="H204" s="293">
        <f ca="1">IF(ISERROR($S204),"",OFFSET('Smelter Reference List'!$G$4,$S204-4,0))</f>
        <v>0</v>
      </c>
      <c r="I204" s="294" t="str">
        <f ca="1">IF(ISERROR($S204),"",OFFSET('Smelter Reference List'!$H$4,$S204-4,0))</f>
        <v>Nanfeng Xiaozhai</v>
      </c>
      <c r="J204" s="294" t="str">
        <f ca="1">IF(ISERROR($S204),"",OFFSET('Smelter Reference List'!$I$4,$S204-4,0))</f>
        <v>Yunnan</v>
      </c>
      <c r="K204" s="295"/>
      <c r="L204" s="295"/>
      <c r="M204" s="295"/>
      <c r="N204" s="295"/>
      <c r="O204" s="295"/>
      <c r="P204" s="295"/>
      <c r="Q204" s="296"/>
      <c r="R204" s="227"/>
      <c r="S204" s="228">
        <f ca="1">IF(C204="",NA(),MATCH($B204&amp;$C204,'Smelter Reference List'!$J:$J,0))</f>
        <v>509</v>
      </c>
      <c r="T204" s="229"/>
      <c r="U204" s="229">
        <f t="shared" ca="1" si="8"/>
        <v>0</v>
      </c>
      <c r="V204" s="229"/>
      <c r="W204" s="229"/>
      <c r="Y204" s="223" t="str">
        <f t="shared" ca="1" si="9"/>
        <v>TungstenMalipo Haiyu Tungsten Co., Ltd.</v>
      </c>
    </row>
    <row r="205" spans="1:25" s="223" customFormat="1" ht="20.25">
      <c r="A205" s="291" t="s">
        <v>203</v>
      </c>
      <c r="B205" s="292" t="str">
        <f ca="1">IF(LEN(A205)=0,"",INDEX('Smelter Reference List'!$A:$A,MATCH($A205,'Smelter Reference List'!$E:$E,0)))</f>
        <v>Tungsten</v>
      </c>
      <c r="C205" s="298" t="str">
        <f ca="1">IF(LEN(A205)=0,"",INDEX('Smelter Reference List'!$C:$C,MATCH($A205,'Smelter Reference List'!$E:$E,0)))</f>
        <v>Xiamen Tungsten (H.C.) Co., Ltd.</v>
      </c>
      <c r="D205" s="292" t="str">
        <f ca="1">IF(ISERROR($S205),"",OFFSET('Smelter Reference List'!$C$4,$S205-4,0)&amp;"")</f>
        <v>Xiamen Tungsten (H.C.) Co., Ltd.</v>
      </c>
      <c r="E205" s="292" t="str">
        <f ca="1">IF(ISERROR($S205),"",OFFSET('Smelter Reference List'!$D$4,$S205-4,0)&amp;"")</f>
        <v>CHINA</v>
      </c>
      <c r="F205" s="292" t="str">
        <f ca="1">IF(ISERROR($S205),"",OFFSET('Smelter Reference List'!$E$4,$S205-4,0))</f>
        <v>CID002320</v>
      </c>
      <c r="G205" s="292" t="str">
        <f ca="1">IF(C205=$U$4,"Enter smelter details", IF(ISERROR($S205),"",OFFSET('Smelter Reference List'!$F$4,$S205-4,0)))</f>
        <v>CFSI</v>
      </c>
      <c r="H205" s="293">
        <f ca="1">IF(ISERROR($S205),"",OFFSET('Smelter Reference List'!$G$4,$S205-4,0))</f>
        <v>0</v>
      </c>
      <c r="I205" s="294" t="str">
        <f ca="1">IF(ISERROR($S205),"",OFFSET('Smelter Reference List'!$H$4,$S205-4,0))</f>
        <v>Xiamen</v>
      </c>
      <c r="J205" s="294" t="str">
        <f ca="1">IF(ISERROR($S205),"",OFFSET('Smelter Reference List'!$I$4,$S205-4,0))</f>
        <v>Fujian</v>
      </c>
      <c r="K205" s="295"/>
      <c r="L205" s="295"/>
      <c r="M205" s="295"/>
      <c r="N205" s="295"/>
      <c r="O205" s="295"/>
      <c r="P205" s="295"/>
      <c r="Q205" s="296"/>
      <c r="R205" s="227"/>
      <c r="S205" s="228">
        <f ca="1">IF(C205="",NA(),MATCH($B205&amp;$C205,'Smelter Reference List'!$J:$J,0))</f>
        <v>524</v>
      </c>
      <c r="T205" s="229"/>
      <c r="U205" s="229">
        <f t="shared" ca="1" si="8"/>
        <v>0</v>
      </c>
      <c r="V205" s="229"/>
      <c r="W205" s="229"/>
      <c r="Y205" s="223" t="str">
        <f t="shared" ca="1" si="9"/>
        <v>TungstenXiamen Tungsten (H.C.) Co., Ltd.</v>
      </c>
    </row>
    <row r="206" spans="1:25" s="223" customFormat="1" ht="20.25">
      <c r="A206" s="291" t="s">
        <v>196</v>
      </c>
      <c r="B206" s="292" t="str">
        <f ca="1">IF(LEN(A206)=0,"",INDEX('Smelter Reference List'!$A:$A,MATCH($A206,'Smelter Reference List'!$E:$E,0)))</f>
        <v>Tungsten</v>
      </c>
      <c r="C206" s="298" t="str">
        <f ca="1">IF(LEN(A206)=0,"",INDEX('Smelter Reference List'!$C:$C,MATCH($A206,'Smelter Reference List'!$E:$E,0)))</f>
        <v>Jiangxi Gan Bei Tungsten Co., Ltd.</v>
      </c>
      <c r="D206" s="292" t="str">
        <f ca="1">IF(ISERROR($S206),"",OFFSET('Smelter Reference List'!$C$4,$S206-4,0)&amp;"")</f>
        <v>Jiangxi Gan Bei Tungsten Co., Ltd.</v>
      </c>
      <c r="E206" s="292" t="str">
        <f ca="1">IF(ISERROR($S206),"",OFFSET('Smelter Reference List'!$D$4,$S206-4,0)&amp;"")</f>
        <v>CHINA</v>
      </c>
      <c r="F206" s="292" t="str">
        <f ca="1">IF(ISERROR($S206),"",OFFSET('Smelter Reference List'!$E$4,$S206-4,0))</f>
        <v>CID002321</v>
      </c>
      <c r="G206" s="292" t="str">
        <f ca="1">IF(C206=$U$4,"Enter smelter details", IF(ISERROR($S206),"",OFFSET('Smelter Reference List'!$F$4,$S206-4,0)))</f>
        <v>CFSI</v>
      </c>
      <c r="H206" s="293">
        <f ca="1">IF(ISERROR($S206),"",OFFSET('Smelter Reference List'!$G$4,$S206-4,0))</f>
        <v>0</v>
      </c>
      <c r="I206" s="294" t="str">
        <f ca="1">IF(ISERROR($S206),"",OFFSET('Smelter Reference List'!$H$4,$S206-4,0))</f>
        <v>Xiushui</v>
      </c>
      <c r="J206" s="294" t="str">
        <f ca="1">IF(ISERROR($S206),"",OFFSET('Smelter Reference List'!$I$4,$S206-4,0))</f>
        <v>Jiangxi</v>
      </c>
      <c r="K206" s="295"/>
      <c r="L206" s="295"/>
      <c r="M206" s="295"/>
      <c r="N206" s="295"/>
      <c r="O206" s="295"/>
      <c r="P206" s="295"/>
      <c r="Q206" s="296"/>
      <c r="R206" s="227"/>
      <c r="S206" s="228">
        <f ca="1">IF(C206="",NA(),MATCH($B206&amp;$C206,'Smelter Reference List'!$J:$J,0))</f>
        <v>499</v>
      </c>
      <c r="T206" s="229"/>
      <c r="U206" s="229">
        <f t="shared" ca="1" si="8"/>
        <v>0</v>
      </c>
      <c r="V206" s="229"/>
      <c r="W206" s="229"/>
      <c r="Y206" s="223" t="str">
        <f t="shared" ca="1" si="9"/>
        <v>TungstenJiangxi Gan Bei Tungsten Co., Ltd.</v>
      </c>
    </row>
    <row r="207" spans="1:25" s="223" customFormat="1" ht="20.25">
      <c r="A207" s="291" t="s">
        <v>2657</v>
      </c>
      <c r="B207" s="292" t="str">
        <f ca="1">IF(LEN(A207)=0,"",INDEX('Smelter Reference List'!$A:$A,MATCH($A207,'Smelter Reference List'!$E:$E,0)))</f>
        <v>Tin</v>
      </c>
      <c r="C207" s="298" t="str">
        <f ca="1">IF(LEN(A207)=0,"",INDEX('Smelter Reference List'!$C:$C,MATCH($A207,'Smelter Reference List'!$E:$E,0)))</f>
        <v>CV Venus Inti Perkasa</v>
      </c>
      <c r="D207" s="292" t="str">
        <f ca="1">IF(ISERROR($S207),"",OFFSET('Smelter Reference List'!$C$4,$S207-4,0)&amp;"")</f>
        <v>CV Venus Inti Perkasa</v>
      </c>
      <c r="E207" s="292" t="str">
        <f ca="1">IF(ISERROR($S207),"",OFFSET('Smelter Reference List'!$D$4,$S207-4,0)&amp;"")</f>
        <v>INDONESIA</v>
      </c>
      <c r="F207" s="292" t="str">
        <f ca="1">IF(ISERROR($S207),"",OFFSET('Smelter Reference List'!$E$4,$S207-4,0))</f>
        <v>CID002455</v>
      </c>
      <c r="G207" s="292" t="str">
        <f ca="1">IF(C207=$U$4,"Enter smelter details", IF(ISERROR($S207),"",OFFSET('Smelter Reference List'!$F$4,$S207-4,0)))</f>
        <v>CFSI</v>
      </c>
      <c r="H207" s="293">
        <f ca="1">IF(ISERROR($S207),"",OFFSET('Smelter Reference List'!$G$4,$S207-4,0))</f>
        <v>0</v>
      </c>
      <c r="I207" s="294" t="str">
        <f ca="1">IF(ISERROR($S207),"",OFFSET('Smelter Reference List'!$H$4,$S207-4,0))</f>
        <v>Pangkal Pinang</v>
      </c>
      <c r="J207" s="294" t="str">
        <f ca="1">IF(ISERROR($S207),"",OFFSET('Smelter Reference List'!$I$4,$S207-4,0))</f>
        <v>Bangka</v>
      </c>
      <c r="K207" s="295"/>
      <c r="L207" s="295"/>
      <c r="M207" s="295"/>
      <c r="N207" s="295"/>
      <c r="O207" s="295"/>
      <c r="P207" s="295"/>
      <c r="Q207" s="296"/>
      <c r="R207" s="227"/>
      <c r="S207" s="228">
        <f ca="1">IF(C207="",NA(),MATCH($B207&amp;$C207,'Smelter Reference List'!$J:$J,0))</f>
        <v>342</v>
      </c>
      <c r="T207" s="229"/>
      <c r="U207" s="229">
        <f t="shared" ca="1" si="8"/>
        <v>0</v>
      </c>
      <c r="V207" s="229"/>
      <c r="W207" s="229"/>
      <c r="Y207" s="223" t="str">
        <f t="shared" ca="1" si="9"/>
        <v>TinCV Venus Inti Perkasa</v>
      </c>
    </row>
    <row r="208" spans="1:25" s="223" customFormat="1" ht="20.25">
      <c r="A208" s="291" t="s">
        <v>197</v>
      </c>
      <c r="B208" s="292" t="str">
        <f ca="1">IF(LEN(A208)=0,"",INDEX('Smelter Reference List'!$A:$A,MATCH($A208,'Smelter Reference List'!$E:$E,0)))</f>
        <v>Tin</v>
      </c>
      <c r="C208" s="298" t="str">
        <f ca="1">IF(LEN(A208)=0,"",INDEX('Smelter Reference List'!$C:$C,MATCH($A208,'Smelter Reference List'!$E:$E,0)))</f>
        <v>Magnu's Minerais Metais e Ligas Ltda.</v>
      </c>
      <c r="D208" s="292" t="str">
        <f ca="1">IF(ISERROR($S208),"",OFFSET('Smelter Reference List'!$C$4,$S208-4,0)&amp;"")</f>
        <v>Magnu's Minerais Metais e Ligas Ltda.</v>
      </c>
      <c r="E208" s="292" t="str">
        <f ca="1">IF(ISERROR($S208),"",OFFSET('Smelter Reference List'!$D$4,$S208-4,0)&amp;"")</f>
        <v>BRAZIL</v>
      </c>
      <c r="F208" s="292" t="str">
        <f ca="1">IF(ISERROR($S208),"",OFFSET('Smelter Reference List'!$E$4,$S208-4,0))</f>
        <v>CID002468</v>
      </c>
      <c r="G208" s="292" t="str">
        <f ca="1">IF(C208=$U$4,"Enter smelter details", IF(ISERROR($S208),"",OFFSET('Smelter Reference List'!$F$4,$S208-4,0)))</f>
        <v>CFSI</v>
      </c>
      <c r="H208" s="293">
        <f ca="1">IF(ISERROR($S208),"",OFFSET('Smelter Reference List'!$G$4,$S208-4,0))</f>
        <v>0</v>
      </c>
      <c r="I208" s="294" t="str">
        <f ca="1">IF(ISERROR($S208),"",OFFSET('Smelter Reference List'!$H$4,$S208-4,0))</f>
        <v>São João del Rei</v>
      </c>
      <c r="J208" s="294" t="str">
        <f ca="1">IF(ISERROR($S208),"",OFFSET('Smelter Reference List'!$I$4,$S208-4,0))</f>
        <v>Minas Gerais</v>
      </c>
      <c r="K208" s="295"/>
      <c r="L208" s="295"/>
      <c r="M208" s="295"/>
      <c r="N208" s="295"/>
      <c r="O208" s="295"/>
      <c r="P208" s="295"/>
      <c r="Q208" s="296"/>
      <c r="R208" s="227"/>
      <c r="S208" s="228">
        <f ca="1">IF(C208="",NA(),MATCH($B208&amp;$C208,'Smelter Reference List'!$J:$J,0))</f>
        <v>379</v>
      </c>
      <c r="T208" s="229"/>
      <c r="U208" s="229">
        <f t="shared" ca="1" si="8"/>
        <v>0</v>
      </c>
      <c r="V208" s="229"/>
      <c r="W208" s="229"/>
      <c r="Y208" s="223" t="str">
        <f t="shared" ca="1" si="9"/>
        <v>TinMagnu's Minerais Metais e Ligas Ltda.</v>
      </c>
    </row>
    <row r="209" spans="1:25" s="223" customFormat="1" ht="20.25">
      <c r="A209" s="291" t="s">
        <v>2666</v>
      </c>
      <c r="B209" s="292" t="str">
        <f ca="1">IF(LEN(A209)=0,"",INDEX('Smelter Reference List'!$A:$A,MATCH($A209,'Smelter Reference List'!$E:$E,0)))</f>
        <v>Tin</v>
      </c>
      <c r="C209" s="298" t="str">
        <f ca="1">IF(LEN(A209)=0,"",INDEX('Smelter Reference List'!$C:$C,MATCH($A209,'Smelter Reference List'!$E:$E,0)))</f>
        <v>PT Wahana Perkit Jaya</v>
      </c>
      <c r="D209" s="292" t="str">
        <f ca="1">IF(ISERROR($S209),"",OFFSET('Smelter Reference List'!$C$4,$S209-4,0)&amp;"")</f>
        <v>PT Wahana Perkit Jaya</v>
      </c>
      <c r="E209" s="292" t="str">
        <f ca="1">IF(ISERROR($S209),"",OFFSET('Smelter Reference List'!$D$4,$S209-4,0)&amp;"")</f>
        <v>INDONESIA</v>
      </c>
      <c r="F209" s="292" t="str">
        <f ca="1">IF(ISERROR($S209),"",OFFSET('Smelter Reference List'!$E$4,$S209-4,0))</f>
        <v>CID002479</v>
      </c>
      <c r="G209" s="292" t="str">
        <f ca="1">IF(C209=$U$4,"Enter smelter details", IF(ISERROR($S209),"",OFFSET('Smelter Reference List'!$F$4,$S209-4,0)))</f>
        <v>CFSI</v>
      </c>
      <c r="H209" s="293">
        <f ca="1">IF(ISERROR($S209),"",OFFSET('Smelter Reference List'!$G$4,$S209-4,0))</f>
        <v>0</v>
      </c>
      <c r="I209" s="294" t="str">
        <f ca="1">IF(ISERROR($S209),"",OFFSET('Smelter Reference List'!$H$4,$S209-4,0))</f>
        <v>Topang Island</v>
      </c>
      <c r="J209" s="294" t="str">
        <f ca="1">IF(ISERROR($S209),"",OFFSET('Smelter Reference List'!$I$4,$S209-4,0))</f>
        <v>Riau Province</v>
      </c>
      <c r="K209" s="295"/>
      <c r="L209" s="295"/>
      <c r="M209" s="295"/>
      <c r="N209" s="295"/>
      <c r="O209" s="295"/>
      <c r="P209" s="295"/>
      <c r="Q209" s="296"/>
      <c r="R209" s="227"/>
      <c r="S209" s="228">
        <f ca="1">IF(C209="",NA(),MATCH($B209&amp;$C209,'Smelter Reference List'!$J:$J,0))</f>
        <v>434</v>
      </c>
      <c r="T209" s="229"/>
      <c r="U209" s="229">
        <f t="shared" ca="1" si="8"/>
        <v>0</v>
      </c>
      <c r="V209" s="229"/>
      <c r="W209" s="229"/>
      <c r="Y209" s="223" t="str">
        <f t="shared" ca="1" si="9"/>
        <v>TinPT Wahana Perkit Jaya</v>
      </c>
    </row>
    <row r="210" spans="1:25" s="223" customFormat="1" ht="20.25">
      <c r="A210" s="291" t="s">
        <v>713</v>
      </c>
      <c r="B210" s="292" t="str">
        <f ca="1">IF(LEN(A210)=0,"",INDEX('Smelter Reference List'!$A:$A,MATCH($A210,'Smelter Reference List'!$E:$E,0)))</f>
        <v>Tantalum</v>
      </c>
      <c r="C210" s="298" t="str">
        <f ca="1">IF(LEN(A210)=0,"",INDEX('Smelter Reference List'!$C:$C,MATCH($A210,'Smelter Reference List'!$E:$E,0)))</f>
        <v>Hengyang King Xing Lifeng New Materials Co., Ltd.</v>
      </c>
      <c r="D210" s="292" t="str">
        <f ca="1">IF(ISERROR($S210),"",OFFSET('Smelter Reference List'!$C$4,$S210-4,0)&amp;"")</f>
        <v>Hengyang King Xing Lifeng New Materials Co., Ltd.</v>
      </c>
      <c r="E210" s="292" t="str">
        <f ca="1">IF(ISERROR($S210),"",OFFSET('Smelter Reference List'!$D$4,$S210-4,0)&amp;"")</f>
        <v>CHINA</v>
      </c>
      <c r="F210" s="292" t="str">
        <f ca="1">IF(ISERROR($S210),"",OFFSET('Smelter Reference List'!$E$4,$S210-4,0))</f>
        <v>CID002492</v>
      </c>
      <c r="G210" s="292" t="str">
        <f ca="1">IF(C210=$U$4,"Enter smelter details", IF(ISERROR($S210),"",OFFSET('Smelter Reference List'!$F$4,$S210-4,0)))</f>
        <v>CFSI</v>
      </c>
      <c r="H210" s="293">
        <f ca="1">IF(ISERROR($S210),"",OFFSET('Smelter Reference List'!$G$4,$S210-4,0))</f>
        <v>0</v>
      </c>
      <c r="I210" s="294" t="str">
        <f ca="1">IF(ISERROR($S210),"",OFFSET('Smelter Reference List'!$H$4,$S210-4,0))</f>
        <v>Hengyang</v>
      </c>
      <c r="J210" s="294" t="str">
        <f ca="1">IF(ISERROR($S210),"",OFFSET('Smelter Reference List'!$I$4,$S210-4,0))</f>
        <v>Hunan</v>
      </c>
      <c r="K210" s="295"/>
      <c r="L210" s="295"/>
      <c r="M210" s="295"/>
      <c r="N210" s="295"/>
      <c r="O210" s="295"/>
      <c r="P210" s="295"/>
      <c r="Q210" s="296"/>
      <c r="R210" s="227"/>
      <c r="S210" s="228">
        <f ca="1">IF(C210="",NA(),MATCH($B210&amp;$C210,'Smelter Reference List'!$J:$J,0))</f>
        <v>266</v>
      </c>
      <c r="T210" s="229"/>
      <c r="U210" s="229">
        <f t="shared" ca="1" si="8"/>
        <v>0</v>
      </c>
      <c r="V210" s="229"/>
      <c r="W210" s="229"/>
      <c r="Y210" s="223" t="str">
        <f t="shared" ca="1" si="9"/>
        <v>TantalumHengyang King Xing Lifeng New Materials Co., Ltd.</v>
      </c>
    </row>
    <row r="211" spans="1:25" s="223" customFormat="1" ht="20.25">
      <c r="A211" s="291" t="s">
        <v>710</v>
      </c>
      <c r="B211" s="292" t="str">
        <f ca="1">IF(LEN(A211)=0,"",INDEX('Smelter Reference List'!$A:$A,MATCH($A211,'Smelter Reference List'!$E:$E,0)))</f>
        <v>Tungsten</v>
      </c>
      <c r="C211" s="298" t="str">
        <f ca="1">IF(LEN(A211)=0,"",INDEX('Smelter Reference List'!$C:$C,MATCH($A211,'Smelter Reference List'!$E:$E,0)))</f>
        <v>Ganzhou Seadragon W &amp; Mo Co., Ltd.</v>
      </c>
      <c r="D211" s="292" t="str">
        <f ca="1">IF(ISERROR($S211),"",OFFSET('Smelter Reference List'!$C$4,$S211-4,0)&amp;"")</f>
        <v>Ganzhou Seadragon W &amp; Mo Co., Ltd.</v>
      </c>
      <c r="E211" s="292" t="str">
        <f ca="1">IF(ISERROR($S211),"",OFFSET('Smelter Reference List'!$D$4,$S211-4,0)&amp;"")</f>
        <v>CHINA</v>
      </c>
      <c r="F211" s="292" t="str">
        <f ca="1">IF(ISERROR($S211),"",OFFSET('Smelter Reference List'!$E$4,$S211-4,0))</f>
        <v>CID002494</v>
      </c>
      <c r="G211" s="292" t="str">
        <f ca="1">IF(C211=$U$4,"Enter smelter details", IF(ISERROR($S211),"",OFFSET('Smelter Reference List'!$F$4,$S211-4,0)))</f>
        <v>CFSI</v>
      </c>
      <c r="H211" s="293">
        <f ca="1">IF(ISERROR($S211),"",OFFSET('Smelter Reference List'!$G$4,$S211-4,0))</f>
        <v>0</v>
      </c>
      <c r="I211" s="294" t="str">
        <f ca="1">IF(ISERROR($S211),"",OFFSET('Smelter Reference List'!$H$4,$S211-4,0))</f>
        <v>Ganzhou</v>
      </c>
      <c r="J211" s="294" t="str">
        <f ca="1">IF(ISERROR($S211),"",OFFSET('Smelter Reference List'!$I$4,$S211-4,0))</f>
        <v>Jiangxi</v>
      </c>
      <c r="K211" s="295"/>
      <c r="L211" s="295"/>
      <c r="M211" s="295"/>
      <c r="N211" s="295"/>
      <c r="O211" s="295"/>
      <c r="P211" s="295"/>
      <c r="Q211" s="296"/>
      <c r="R211" s="227"/>
      <c r="S211" s="228">
        <f ca="1">IF(C211="",NA(),MATCH($B211&amp;$C211,'Smelter Reference List'!$J:$J,0))</f>
        <v>483</v>
      </c>
      <c r="T211" s="229"/>
      <c r="U211" s="229">
        <f t="shared" ca="1" si="8"/>
        <v>0</v>
      </c>
      <c r="V211" s="229"/>
      <c r="W211" s="229"/>
      <c r="Y211" s="223" t="str">
        <f t="shared" ca="1" si="9"/>
        <v>TungstenGanzhou Seadragon W &amp; Mo Co., Ltd.</v>
      </c>
    </row>
    <row r="212" spans="1:25" s="223" customFormat="1" ht="20.25">
      <c r="A212" s="291" t="s">
        <v>2541</v>
      </c>
      <c r="B212" s="292" t="str">
        <f ca="1">IF(LEN(A212)=0,"",INDEX('Smelter Reference List'!$A:$A,MATCH($A212,'Smelter Reference List'!$E:$E,0)))</f>
        <v>Tin</v>
      </c>
      <c r="C212" s="298" t="str">
        <f ca="1">IF(LEN(A212)=0,"",INDEX('Smelter Reference List'!$C:$C,MATCH($A212,'Smelter Reference List'!$E:$E,0)))</f>
        <v>Melt Metais e Ligas S.A.</v>
      </c>
      <c r="D212" s="292" t="str">
        <f ca="1">IF(ISERROR($S212),"",OFFSET('Smelter Reference List'!$C$4,$S212-4,0)&amp;"")</f>
        <v>Melt Metais e Ligas S.A.</v>
      </c>
      <c r="E212" s="292" t="str">
        <f ca="1">IF(ISERROR($S212),"",OFFSET('Smelter Reference List'!$D$4,$S212-4,0)&amp;"")</f>
        <v>BRAZIL</v>
      </c>
      <c r="F212" s="292" t="str">
        <f ca="1">IF(ISERROR($S212),"",OFFSET('Smelter Reference List'!$E$4,$S212-4,0))</f>
        <v>CID002500</v>
      </c>
      <c r="G212" s="292" t="str">
        <f ca="1">IF(C212=$U$4,"Enter smelter details", IF(ISERROR($S212),"",OFFSET('Smelter Reference List'!$F$4,$S212-4,0)))</f>
        <v>CFSI</v>
      </c>
      <c r="H212" s="293">
        <f ca="1">IF(ISERROR($S212),"",OFFSET('Smelter Reference List'!$G$4,$S212-4,0))</f>
        <v>0</v>
      </c>
      <c r="I212" s="294" t="str">
        <f ca="1">IF(ISERROR($S212),"",OFFSET('Smelter Reference List'!$H$4,$S212-4,0))</f>
        <v>Ariquemes</v>
      </c>
      <c r="J212" s="294" t="str">
        <f ca="1">IF(ISERROR($S212),"",OFFSET('Smelter Reference List'!$I$4,$S212-4,0))</f>
        <v>Rondonia</v>
      </c>
      <c r="K212" s="295"/>
      <c r="L212" s="295"/>
      <c r="M212" s="295"/>
      <c r="N212" s="295"/>
      <c r="O212" s="295"/>
      <c r="P212" s="295"/>
      <c r="Q212" s="296"/>
      <c r="R212" s="227"/>
      <c r="S212" s="228">
        <f ca="1">IF(C212="",NA(),MATCH($B212&amp;$C212,'Smelter Reference List'!$J:$J,0))</f>
        <v>381</v>
      </c>
      <c r="T212" s="229"/>
      <c r="U212" s="229">
        <f t="shared" ca="1" si="8"/>
        <v>0</v>
      </c>
      <c r="V212" s="229"/>
      <c r="W212" s="229"/>
      <c r="Y212" s="223" t="str">
        <f t="shared" ca="1" si="9"/>
        <v>TinMelt Metais e Ligas S.A.</v>
      </c>
    </row>
    <row r="213" spans="1:25" s="223" customFormat="1" ht="20.25">
      <c r="A213" s="291" t="s">
        <v>2668</v>
      </c>
      <c r="B213" s="292" t="str">
        <f ca="1">IF(LEN(A213)=0,"",INDEX('Smelter Reference List'!$A:$A,MATCH($A213,'Smelter Reference List'!$E:$E,0)))</f>
        <v>Tungsten</v>
      </c>
      <c r="C213" s="298" t="str">
        <f ca="1">IF(LEN(A213)=0,"",INDEX('Smelter Reference List'!$C:$C,MATCH($A213,'Smelter Reference List'!$E:$E,0)))</f>
        <v>Asia Tungsten Products Vietnam Ltd.</v>
      </c>
      <c r="D213" s="292" t="str">
        <f ca="1">IF(ISERROR($S213),"",OFFSET('Smelter Reference List'!$C$4,$S213-4,0)&amp;"")</f>
        <v>Asia Tungsten Products Vietnam Ltd.</v>
      </c>
      <c r="E213" s="292" t="str">
        <f ca="1">IF(ISERROR($S213),"",OFFSET('Smelter Reference List'!$D$4,$S213-4,0)&amp;"")</f>
        <v>VIET NAM</v>
      </c>
      <c r="F213" s="292" t="str">
        <f ca="1">IF(ISERROR($S213),"",OFFSET('Smelter Reference List'!$E$4,$S213-4,0))</f>
        <v>CID002502</v>
      </c>
      <c r="G213" s="292" t="str">
        <f ca="1">IF(C213=$U$4,"Enter smelter details", IF(ISERROR($S213),"",OFFSET('Smelter Reference List'!$F$4,$S213-4,0)))</f>
        <v>CFSI</v>
      </c>
      <c r="H213" s="293">
        <f ca="1">IF(ISERROR($S213),"",OFFSET('Smelter Reference List'!$G$4,$S213-4,0))</f>
        <v>0</v>
      </c>
      <c r="I213" s="294" t="str">
        <f ca="1">IF(ISERROR($S213),"",OFFSET('Smelter Reference List'!$H$4,$S213-4,0))</f>
        <v>Vinh Bao District</v>
      </c>
      <c r="J213" s="294" t="str">
        <f ca="1">IF(ISERROR($S213),"",OFFSET('Smelter Reference List'!$I$4,$S213-4,0))</f>
        <v>Hai Phong</v>
      </c>
      <c r="K213" s="295"/>
      <c r="L213" s="295"/>
      <c r="M213" s="295"/>
      <c r="N213" s="295"/>
      <c r="O213" s="295"/>
      <c r="P213" s="295"/>
      <c r="Q213" s="296"/>
      <c r="R213" s="227"/>
      <c r="S213" s="228">
        <f ca="1">IF(C213="",NA(),MATCH($B213&amp;$C213,'Smelter Reference List'!$J:$J,0))</f>
        <v>471</v>
      </c>
      <c r="T213" s="229"/>
      <c r="U213" s="229">
        <f t="shared" ca="1" si="8"/>
        <v>0</v>
      </c>
      <c r="V213" s="229"/>
      <c r="W213" s="229"/>
      <c r="Y213" s="223" t="str">
        <f t="shared" ca="1" si="9"/>
        <v>TungstenAsia Tungsten Products Vietnam Ltd.</v>
      </c>
    </row>
    <row r="214" spans="1:25" s="223" customFormat="1" ht="20.25">
      <c r="A214" s="291" t="s">
        <v>2661</v>
      </c>
      <c r="B214" s="292" t="str">
        <f ca="1">IF(LEN(A214)=0,"",INDEX('Smelter Reference List'!$A:$A,MATCH($A214,'Smelter Reference List'!$E:$E,0)))</f>
        <v>Tin</v>
      </c>
      <c r="C214" s="298" t="str">
        <f ca="1">IF(LEN(A214)=0,"",INDEX('Smelter Reference List'!$C:$C,MATCH($A214,'Smelter Reference List'!$E:$E,0)))</f>
        <v>PT ATD Makmur Mandiri Jaya</v>
      </c>
      <c r="D214" s="292" t="str">
        <f ca="1">IF(ISERROR($S214),"",OFFSET('Smelter Reference List'!$C$4,$S214-4,0)&amp;"")</f>
        <v>PT ATD Makmur Mandiri Jaya</v>
      </c>
      <c r="E214" s="292" t="str">
        <f ca="1">IF(ISERROR($S214),"",OFFSET('Smelter Reference List'!$D$4,$S214-4,0)&amp;"")</f>
        <v>INDONESIA</v>
      </c>
      <c r="F214" s="292" t="str">
        <f ca="1">IF(ISERROR($S214),"",OFFSET('Smelter Reference List'!$E$4,$S214-4,0))</f>
        <v>CID002503</v>
      </c>
      <c r="G214" s="292" t="str">
        <f ca="1">IF(C214=$U$4,"Enter smelter details", IF(ISERROR($S214),"",OFFSET('Smelter Reference List'!$F$4,$S214-4,0)))</f>
        <v>CFSI</v>
      </c>
      <c r="H214" s="293">
        <f ca="1">IF(ISERROR($S214),"",OFFSET('Smelter Reference List'!$G$4,$S214-4,0))</f>
        <v>0</v>
      </c>
      <c r="I214" s="294" t="str">
        <f ca="1">IF(ISERROR($S214),"",OFFSET('Smelter Reference List'!$H$4,$S214-4,0))</f>
        <v>Sungailiat</v>
      </c>
      <c r="J214" s="294" t="str">
        <f ca="1">IF(ISERROR($S214),"",OFFSET('Smelter Reference List'!$I$4,$S214-4,0))</f>
        <v>Bangka</v>
      </c>
      <c r="K214" s="295"/>
      <c r="L214" s="295"/>
      <c r="M214" s="295"/>
      <c r="N214" s="295"/>
      <c r="O214" s="295"/>
      <c r="P214" s="295"/>
      <c r="Q214" s="296"/>
      <c r="R214" s="227"/>
      <c r="S214" s="228">
        <f ca="1">IF(C214="",NA(),MATCH($B214&amp;$C214,'Smelter Reference List'!$J:$J,0))</f>
        <v>402</v>
      </c>
      <c r="T214" s="229"/>
      <c r="U214" s="229">
        <f t="shared" ca="1" si="8"/>
        <v>0</v>
      </c>
      <c r="V214" s="229"/>
      <c r="W214" s="229"/>
      <c r="Y214" s="223" t="str">
        <f t="shared" ca="1" si="9"/>
        <v>TinPT ATD Makmur Mandiri Jaya</v>
      </c>
    </row>
    <row r="215" spans="1:25" s="223" customFormat="1" ht="20.25">
      <c r="A215" s="291" t="s">
        <v>2650</v>
      </c>
      <c r="B215" s="292" t="str">
        <f ca="1">IF(LEN(A215)=0,"",INDEX('Smelter Reference List'!$A:$A,MATCH($A215,'Smelter Reference List'!$E:$E,0)))</f>
        <v>Tantalum</v>
      </c>
      <c r="C215" s="298" t="str">
        <f ca="1">IF(LEN(A215)=0,"",INDEX('Smelter Reference List'!$C:$C,MATCH($A215,'Smelter Reference List'!$E:$E,0)))</f>
        <v>D Block Metals, LLC</v>
      </c>
      <c r="D215" s="292" t="str">
        <f ca="1">IF(ISERROR($S215),"",OFFSET('Smelter Reference List'!$C$4,$S215-4,0)&amp;"")</f>
        <v>D Block Metals, LLC</v>
      </c>
      <c r="E215" s="292" t="str">
        <f ca="1">IF(ISERROR($S215),"",OFFSET('Smelter Reference List'!$D$4,$S215-4,0)&amp;"")</f>
        <v>UNITED STATES OF AMERICA</v>
      </c>
      <c r="F215" s="292" t="str">
        <f ca="1">IF(ISERROR($S215),"",OFFSET('Smelter Reference List'!$E$4,$S215-4,0))</f>
        <v>CID002504</v>
      </c>
      <c r="G215" s="292" t="str">
        <f ca="1">IF(C215=$U$4,"Enter smelter details", IF(ISERROR($S215),"",OFFSET('Smelter Reference List'!$F$4,$S215-4,0)))</f>
        <v>CFSI</v>
      </c>
      <c r="H215" s="293">
        <f ca="1">IF(ISERROR($S215),"",OFFSET('Smelter Reference List'!$G$4,$S215-4,0))</f>
        <v>0</v>
      </c>
      <c r="I215" s="294" t="str">
        <f ca="1">IF(ISERROR($S215),"",OFFSET('Smelter Reference List'!$H$4,$S215-4,0))</f>
        <v>Gastonia</v>
      </c>
      <c r="J215" s="294" t="str">
        <f ca="1">IF(ISERROR($S215),"",OFFSET('Smelter Reference List'!$I$4,$S215-4,0))</f>
        <v>North Carolina</v>
      </c>
      <c r="K215" s="295"/>
      <c r="L215" s="295"/>
      <c r="M215" s="295"/>
      <c r="N215" s="295"/>
      <c r="O215" s="295"/>
      <c r="P215" s="295"/>
      <c r="Q215" s="296"/>
      <c r="R215" s="227"/>
      <c r="S215" s="228">
        <f ca="1">IF(C215="",NA(),MATCH($B215&amp;$C215,'Smelter Reference List'!$J:$J,0))</f>
        <v>248</v>
      </c>
      <c r="T215" s="229"/>
      <c r="U215" s="229">
        <f t="shared" ca="1" si="8"/>
        <v>0</v>
      </c>
      <c r="V215" s="229"/>
      <c r="W215" s="229"/>
      <c r="Y215" s="223" t="str">
        <f t="shared" ca="1" si="9"/>
        <v>TantalumD Block Metals, LLC</v>
      </c>
    </row>
    <row r="216" spans="1:25" s="223" customFormat="1" ht="20.25">
      <c r="A216" s="291" t="s">
        <v>2651</v>
      </c>
      <c r="B216" s="292" t="str">
        <f ca="1">IF(LEN(A216)=0,"",INDEX('Smelter Reference List'!$A:$A,MATCH($A216,'Smelter Reference List'!$E:$E,0)))</f>
        <v>Tantalum</v>
      </c>
      <c r="C216" s="298" t="str">
        <f ca="1">IF(LEN(A216)=0,"",INDEX('Smelter Reference List'!$C:$C,MATCH($A216,'Smelter Reference List'!$E:$E,0)))</f>
        <v>FIR Metals &amp; Resource Ltd.</v>
      </c>
      <c r="D216" s="292" t="str">
        <f ca="1">IF(ISERROR($S216),"",OFFSET('Smelter Reference List'!$C$4,$S216-4,0)&amp;"")</f>
        <v>FIR Metals &amp; Resource Ltd.</v>
      </c>
      <c r="E216" s="292" t="str">
        <f ca="1">IF(ISERROR($S216),"",OFFSET('Smelter Reference List'!$D$4,$S216-4,0)&amp;"")</f>
        <v>CHINA</v>
      </c>
      <c r="F216" s="292" t="str">
        <f ca="1">IF(ISERROR($S216),"",OFFSET('Smelter Reference List'!$E$4,$S216-4,0))</f>
        <v>CID002505</v>
      </c>
      <c r="G216" s="292" t="str">
        <f ca="1">IF(C216=$U$4,"Enter smelter details", IF(ISERROR($S216),"",OFFSET('Smelter Reference List'!$F$4,$S216-4,0)))</f>
        <v>CFSI</v>
      </c>
      <c r="H216" s="293">
        <f ca="1">IF(ISERROR($S216),"",OFFSET('Smelter Reference List'!$G$4,$S216-4,0))</f>
        <v>0</v>
      </c>
      <c r="I216" s="294" t="str">
        <f ca="1">IF(ISERROR($S216),"",OFFSET('Smelter Reference List'!$H$4,$S216-4,0))</f>
        <v>Zhuzhou</v>
      </c>
      <c r="J216" s="294" t="str">
        <f ca="1">IF(ISERROR($S216),"",OFFSET('Smelter Reference List'!$I$4,$S216-4,0))</f>
        <v>Hunan</v>
      </c>
      <c r="K216" s="295"/>
      <c r="L216" s="295"/>
      <c r="M216" s="295"/>
      <c r="N216" s="295"/>
      <c r="O216" s="295"/>
      <c r="P216" s="295"/>
      <c r="Q216" s="296"/>
      <c r="R216" s="227"/>
      <c r="S216" s="228">
        <f ca="1">IF(C216="",NA(),MATCH($B216&amp;$C216,'Smelter Reference List'!$J:$J,0))</f>
        <v>255</v>
      </c>
      <c r="T216" s="229"/>
      <c r="U216" s="229">
        <f t="shared" ca="1" si="8"/>
        <v>0</v>
      </c>
      <c r="V216" s="229"/>
      <c r="W216" s="229"/>
      <c r="Y216" s="223" t="str">
        <f t="shared" ca="1" si="9"/>
        <v>TantalumFIR Metals &amp; Resource Ltd.</v>
      </c>
    </row>
    <row r="217" spans="1:25" s="223" customFormat="1" ht="20.25">
      <c r="A217" s="291" t="s">
        <v>2653</v>
      </c>
      <c r="B217" s="292" t="str">
        <f ca="1">IF(LEN(A217)=0,"",INDEX('Smelter Reference List'!$A:$A,MATCH($A217,'Smelter Reference List'!$E:$E,0)))</f>
        <v>Tantalum</v>
      </c>
      <c r="C217" s="298" t="str">
        <f ca="1">IF(LEN(A217)=0,"",INDEX('Smelter Reference List'!$C:$C,MATCH($A217,'Smelter Reference List'!$E:$E,0)))</f>
        <v>Jiujiang Zhongao Tantalum &amp; Niobium Co., Ltd.</v>
      </c>
      <c r="D217" s="292" t="str">
        <f ca="1">IF(ISERROR($S217),"",OFFSET('Smelter Reference List'!$C$4,$S217-4,0)&amp;"")</f>
        <v>Jiujiang Zhongao Tantalum &amp; Niobium Co., Ltd.</v>
      </c>
      <c r="E217" s="292" t="str">
        <f ca="1">IF(ISERROR($S217),"",OFFSET('Smelter Reference List'!$D$4,$S217-4,0)&amp;"")</f>
        <v>CHINA</v>
      </c>
      <c r="F217" s="292" t="str">
        <f ca="1">IF(ISERROR($S217),"",OFFSET('Smelter Reference List'!$E$4,$S217-4,0))</f>
        <v>CID002506</v>
      </c>
      <c r="G217" s="292" t="str">
        <f ca="1">IF(C217=$U$4,"Enter smelter details", IF(ISERROR($S217),"",OFFSET('Smelter Reference List'!$F$4,$S217-4,0)))</f>
        <v>CFSI</v>
      </c>
      <c r="H217" s="293">
        <f ca="1">IF(ISERROR($S217),"",OFFSET('Smelter Reference List'!$G$4,$S217-4,0))</f>
        <v>0</v>
      </c>
      <c r="I217" s="294" t="str">
        <f ca="1">IF(ISERROR($S217),"",OFFSET('Smelter Reference List'!$H$4,$S217-4,0))</f>
        <v>Jiujiang</v>
      </c>
      <c r="J217" s="294" t="str">
        <f ca="1">IF(ISERROR($S217),"",OFFSET('Smelter Reference List'!$I$4,$S217-4,0))</f>
        <v>Jiangxi</v>
      </c>
      <c r="K217" s="295"/>
      <c r="L217" s="295"/>
      <c r="M217" s="295"/>
      <c r="N217" s="295"/>
      <c r="O217" s="295"/>
      <c r="P217" s="295"/>
      <c r="Q217" s="296"/>
      <c r="R217" s="227"/>
      <c r="S217" s="228">
        <f ca="1">IF(C217="",NA(),MATCH($B217&amp;$C217,'Smelter Reference List'!$J:$J,0))</f>
        <v>273</v>
      </c>
      <c r="T217" s="229"/>
      <c r="U217" s="229">
        <f t="shared" ca="1" si="8"/>
        <v>0</v>
      </c>
      <c r="V217" s="229"/>
      <c r="W217" s="229"/>
      <c r="Y217" s="223" t="str">
        <f t="shared" ca="1" si="9"/>
        <v>TantalumJiujiang Zhongao Tantalum &amp; Niobium Co., Ltd.</v>
      </c>
    </row>
    <row r="218" spans="1:25" s="223" customFormat="1" ht="20.25">
      <c r="A218" s="291" t="s">
        <v>2655</v>
      </c>
      <c r="B218" s="292" t="str">
        <f ca="1">IF(LEN(A218)=0,"",INDEX('Smelter Reference List'!$A:$A,MATCH($A218,'Smelter Reference List'!$E:$E,0)))</f>
        <v>Tantalum</v>
      </c>
      <c r="C218" s="298" t="str">
        <f ca="1">IF(LEN(A218)=0,"",INDEX('Smelter Reference List'!$C:$C,MATCH($A218,'Smelter Reference List'!$E:$E,0)))</f>
        <v>XinXing HaoRong Electronic Material Co., Ltd.</v>
      </c>
      <c r="D218" s="292" t="str">
        <f ca="1">IF(ISERROR($S218),"",OFFSET('Smelter Reference List'!$C$4,$S218-4,0)&amp;"")</f>
        <v>XinXing HaoRong Electronic Material Co., Ltd.</v>
      </c>
      <c r="E218" s="292" t="str">
        <f ca="1">IF(ISERROR($S218),"",OFFSET('Smelter Reference List'!$D$4,$S218-4,0)&amp;"")</f>
        <v>CHINA</v>
      </c>
      <c r="F218" s="292" t="str">
        <f ca="1">IF(ISERROR($S218),"",OFFSET('Smelter Reference List'!$E$4,$S218-4,0))</f>
        <v>CID002508</v>
      </c>
      <c r="G218" s="292" t="str">
        <f ca="1">IF(C218=$U$4,"Enter smelter details", IF(ISERROR($S218),"",OFFSET('Smelter Reference List'!$F$4,$S218-4,0)))</f>
        <v>CFSI</v>
      </c>
      <c r="H218" s="293">
        <f ca="1">IF(ISERROR($S218),"",OFFSET('Smelter Reference List'!$G$4,$S218-4,0))</f>
        <v>0</v>
      </c>
      <c r="I218" s="294" t="str">
        <f ca="1">IF(ISERROR($S218),"",OFFSET('Smelter Reference List'!$H$4,$S218-4,0))</f>
        <v>YunFu City</v>
      </c>
      <c r="J218" s="294" t="str">
        <f ca="1">IF(ISERROR($S218),"",OFFSET('Smelter Reference List'!$I$4,$S218-4,0))</f>
        <v>Guangdong</v>
      </c>
      <c r="K218" s="295"/>
      <c r="L218" s="295"/>
      <c r="M218" s="295"/>
      <c r="N218" s="295"/>
      <c r="O218" s="295"/>
      <c r="P218" s="295"/>
      <c r="Q218" s="296"/>
      <c r="R218" s="227"/>
      <c r="S218" s="228">
        <f ca="1">IF(C218="",NA(),MATCH($B218&amp;$C218,'Smelter Reference List'!$J:$J,0))</f>
        <v>302</v>
      </c>
      <c r="T218" s="229"/>
      <c r="U218" s="229">
        <f t="shared" ca="1" si="8"/>
        <v>0</v>
      </c>
      <c r="V218" s="229"/>
      <c r="W218" s="229"/>
      <c r="Y218" s="223" t="str">
        <f t="shared" ca="1" si="9"/>
        <v>TantalumXinXing HaoRong Electronic Material Co., Ltd.</v>
      </c>
    </row>
    <row r="219" spans="1:25" s="223" customFormat="1" ht="20.25">
      <c r="A219" s="291" t="s">
        <v>2643</v>
      </c>
      <c r="B219" s="292" t="str">
        <f ca="1">IF(LEN(A219)=0,"",INDEX('Smelter Reference List'!$A:$A,MATCH($A219,'Smelter Reference List'!$E:$E,0)))</f>
        <v>Gold</v>
      </c>
      <c r="C219" s="298" t="str">
        <f ca="1">IF(LEN(A219)=0,"",INDEX('Smelter Reference List'!$C:$C,MATCH($A219,'Smelter Reference List'!$E:$E,0)))</f>
        <v>MMTC-PAMP India Pvt., Ltd.</v>
      </c>
      <c r="D219" s="292" t="str">
        <f ca="1">IF(ISERROR($S219),"",OFFSET('Smelter Reference List'!$C$4,$S219-4,0)&amp;"")</f>
        <v>MMTC-PAMP India Pvt., Ltd.</v>
      </c>
      <c r="E219" s="292" t="str">
        <f ca="1">IF(ISERROR($S219),"",OFFSET('Smelter Reference List'!$D$4,$S219-4,0)&amp;"")</f>
        <v>INDIA</v>
      </c>
      <c r="F219" s="292" t="str">
        <f ca="1">IF(ISERROR($S219),"",OFFSET('Smelter Reference List'!$E$4,$S219-4,0))</f>
        <v>CID002509</v>
      </c>
      <c r="G219" s="292" t="str">
        <f ca="1">IF(C219=$U$4,"Enter smelter details", IF(ISERROR($S219),"",OFFSET('Smelter Reference List'!$F$4,$S219-4,0)))</f>
        <v>CFSI</v>
      </c>
      <c r="H219" s="293">
        <f ca="1">IF(ISERROR($S219),"",OFFSET('Smelter Reference List'!$G$4,$S219-4,0))</f>
        <v>0</v>
      </c>
      <c r="I219" s="294" t="str">
        <f ca="1">IF(ISERROR($S219),"",OFFSET('Smelter Reference List'!$H$4,$S219-4,0))</f>
        <v>Mewat</v>
      </c>
      <c r="J219" s="294" t="str">
        <f ca="1">IF(ISERROR($S219),"",OFFSET('Smelter Reference List'!$I$4,$S219-4,0))</f>
        <v>Haryana</v>
      </c>
      <c r="K219" s="295"/>
      <c r="L219" s="295"/>
      <c r="M219" s="295"/>
      <c r="N219" s="295"/>
      <c r="O219" s="295"/>
      <c r="P219" s="295"/>
      <c r="Q219" s="296"/>
      <c r="R219" s="227"/>
      <c r="S219" s="228">
        <f ca="1">IF(C219="",NA(),MATCH($B219&amp;$C219,'Smelter Reference List'!$J:$J,0))</f>
        <v>132</v>
      </c>
      <c r="T219" s="229"/>
      <c r="U219" s="229">
        <f t="shared" ca="1" si="8"/>
        <v>0</v>
      </c>
      <c r="V219" s="229"/>
      <c r="W219" s="229"/>
      <c r="Y219" s="223" t="str">
        <f t="shared" ca="1" si="9"/>
        <v>GoldMMTC-PAMP India Pvt., Ltd.</v>
      </c>
    </row>
    <row r="220" spans="1:25" s="223" customFormat="1" ht="20.25">
      <c r="A220" s="291" t="s">
        <v>2645</v>
      </c>
      <c r="B220" s="292" t="str">
        <f ca="1">IF(LEN(A220)=0,"",INDEX('Smelter Reference List'!$A:$A,MATCH($A220,'Smelter Reference List'!$E:$E,0)))</f>
        <v>Gold</v>
      </c>
      <c r="C220" s="298" t="str">
        <f ca="1">IF(LEN(A220)=0,"",INDEX('Smelter Reference List'!$C:$C,MATCH($A220,'Smelter Reference List'!$E:$E,0)))</f>
        <v>Republic Metals Corporation</v>
      </c>
      <c r="D220" s="292" t="str">
        <f ca="1">IF(ISERROR($S220),"",OFFSET('Smelter Reference List'!$C$4,$S220-4,0)&amp;"")</f>
        <v>Republic Metals Corporation</v>
      </c>
      <c r="E220" s="292" t="str">
        <f ca="1">IF(ISERROR($S220),"",OFFSET('Smelter Reference List'!$D$4,$S220-4,0)&amp;"")</f>
        <v>UNITED STATES OF AMERICA</v>
      </c>
      <c r="F220" s="292" t="str">
        <f ca="1">IF(ISERROR($S220),"",OFFSET('Smelter Reference List'!$E$4,$S220-4,0))</f>
        <v>CID002510</v>
      </c>
      <c r="G220" s="292" t="str">
        <f ca="1">IF(C220=$U$4,"Enter smelter details", IF(ISERROR($S220),"",OFFSET('Smelter Reference List'!$F$4,$S220-4,0)))</f>
        <v>CFSI</v>
      </c>
      <c r="H220" s="293">
        <f ca="1">IF(ISERROR($S220),"",OFFSET('Smelter Reference List'!$G$4,$S220-4,0))</f>
        <v>0</v>
      </c>
      <c r="I220" s="294" t="str">
        <f ca="1">IF(ISERROR($S220),"",OFFSET('Smelter Reference List'!$H$4,$S220-4,0))</f>
        <v>Miami</v>
      </c>
      <c r="J220" s="294" t="str">
        <f ca="1">IF(ISERROR($S220),"",OFFSET('Smelter Reference List'!$I$4,$S220-4,0))</f>
        <v>Florida</v>
      </c>
      <c r="K220" s="295"/>
      <c r="L220" s="295"/>
      <c r="M220" s="295"/>
      <c r="N220" s="295"/>
      <c r="O220" s="295"/>
      <c r="P220" s="295"/>
      <c r="Q220" s="296"/>
      <c r="R220" s="227"/>
      <c r="S220" s="228">
        <f ca="1">IF(C220="",NA(),MATCH($B220&amp;$C220,'Smelter Reference List'!$J:$J,0))</f>
        <v>161</v>
      </c>
      <c r="T220" s="229"/>
      <c r="U220" s="229">
        <f t="shared" ca="1" si="8"/>
        <v>0</v>
      </c>
      <c r="V220" s="229"/>
      <c r="W220" s="229"/>
      <c r="Y220" s="223" t="str">
        <f t="shared" ca="1" si="9"/>
        <v>GoldRepublic Metals Corporation</v>
      </c>
    </row>
    <row r="221" spans="1:25" s="223" customFormat="1" ht="20.25">
      <c r="A221" s="291" t="s">
        <v>2652</v>
      </c>
      <c r="B221" s="292" t="str">
        <f ca="1">IF(LEN(A221)=0,"",INDEX('Smelter Reference List'!$A:$A,MATCH($A221,'Smelter Reference List'!$E:$E,0)))</f>
        <v>Tantalum</v>
      </c>
      <c r="C221" s="298" t="str">
        <f ca="1">IF(LEN(A221)=0,"",INDEX('Smelter Reference List'!$C:$C,MATCH($A221,'Smelter Reference List'!$E:$E,0)))</f>
        <v>Jiangxi Dinghai Tantalum &amp; Niobium Co., Ltd.</v>
      </c>
      <c r="D221" s="292" t="str">
        <f ca="1">IF(ISERROR($S221),"",OFFSET('Smelter Reference List'!$C$4,$S221-4,0)&amp;"")</f>
        <v>Jiangxi Dinghai Tantalum &amp; Niobium Co., Ltd.</v>
      </c>
      <c r="E221" s="292" t="str">
        <f ca="1">IF(ISERROR($S221),"",OFFSET('Smelter Reference List'!$D$4,$S221-4,0)&amp;"")</f>
        <v>CHINA</v>
      </c>
      <c r="F221" s="292" t="str">
        <f ca="1">IF(ISERROR($S221),"",OFFSET('Smelter Reference List'!$E$4,$S221-4,0))</f>
        <v>CID002512</v>
      </c>
      <c r="G221" s="292" t="str">
        <f ca="1">IF(C221=$U$4,"Enter smelter details", IF(ISERROR($S221),"",OFFSET('Smelter Reference List'!$F$4,$S221-4,0)))</f>
        <v>CFSI</v>
      </c>
      <c r="H221" s="293">
        <f ca="1">IF(ISERROR($S221),"",OFFSET('Smelter Reference List'!$G$4,$S221-4,0))</f>
        <v>0</v>
      </c>
      <c r="I221" s="294" t="str">
        <f ca="1">IF(ISERROR($S221),"",OFFSET('Smelter Reference List'!$H$4,$S221-4,0))</f>
        <v>Fengxin</v>
      </c>
      <c r="J221" s="294" t="str">
        <f ca="1">IF(ISERROR($S221),"",OFFSET('Smelter Reference List'!$I$4,$S221-4,0))</f>
        <v>Jiangxi</v>
      </c>
      <c r="K221" s="295"/>
      <c r="L221" s="295"/>
      <c r="M221" s="295"/>
      <c r="N221" s="295"/>
      <c r="O221" s="295"/>
      <c r="P221" s="295"/>
      <c r="Q221" s="296"/>
      <c r="R221" s="227"/>
      <c r="S221" s="228">
        <f ca="1">IF(C221="",NA(),MATCH($B221&amp;$C221,'Smelter Reference List'!$J:$J,0))</f>
        <v>269</v>
      </c>
      <c r="T221" s="229"/>
      <c r="U221" s="229">
        <f t="shared" ca="1" si="8"/>
        <v>0</v>
      </c>
      <c r="V221" s="229"/>
      <c r="W221" s="229"/>
      <c r="Y221" s="223" t="str">
        <f t="shared" ca="1" si="9"/>
        <v>TantalumJiangxi Dinghai Tantalum &amp; Niobium Co., Ltd.</v>
      </c>
    </row>
    <row r="222" spans="1:25" s="223" customFormat="1" ht="20.25">
      <c r="A222" s="291" t="s">
        <v>2670</v>
      </c>
      <c r="B222" s="292" t="str">
        <f ca="1">IF(LEN(A222)=0,"",INDEX('Smelter Reference List'!$A:$A,MATCH($A222,'Smelter Reference List'!$E:$E,0)))</f>
        <v>Tungsten</v>
      </c>
      <c r="C222" s="298" t="str">
        <f ca="1">IF(LEN(A222)=0,"",INDEX('Smelter Reference List'!$C:$C,MATCH($A222,'Smelter Reference List'!$E:$E,0)))</f>
        <v>Chenzhou Diamond Tungsten Products Co., Ltd.</v>
      </c>
      <c r="D222" s="292" t="str">
        <f ca="1">IF(ISERROR($S222),"",OFFSET('Smelter Reference List'!$C$4,$S222-4,0)&amp;"")</f>
        <v>Chenzhou Diamond Tungsten Products Co., Ltd.</v>
      </c>
      <c r="E222" s="292" t="str">
        <f ca="1">IF(ISERROR($S222),"",OFFSET('Smelter Reference List'!$D$4,$S222-4,0)&amp;"")</f>
        <v>CHINA</v>
      </c>
      <c r="F222" s="292" t="str">
        <f ca="1">IF(ISERROR($S222),"",OFFSET('Smelter Reference List'!$E$4,$S222-4,0))</f>
        <v>CID002513</v>
      </c>
      <c r="G222" s="292" t="str">
        <f ca="1">IF(C222=$U$4,"Enter smelter details", IF(ISERROR($S222),"",OFFSET('Smelter Reference List'!$F$4,$S222-4,0)))</f>
        <v>CFSI</v>
      </c>
      <c r="H222" s="293">
        <f ca="1">IF(ISERROR($S222),"",OFFSET('Smelter Reference List'!$G$4,$S222-4,0))</f>
        <v>0</v>
      </c>
      <c r="I222" s="294" t="str">
        <f ca="1">IF(ISERROR($S222),"",OFFSET('Smelter Reference List'!$H$4,$S222-4,0))</f>
        <v>Chenzhou</v>
      </c>
      <c r="J222" s="294" t="str">
        <f ca="1">IF(ISERROR($S222),"",OFFSET('Smelter Reference List'!$I$4,$S222-4,0))</f>
        <v>Hunan</v>
      </c>
      <c r="K222" s="295"/>
      <c r="L222" s="295"/>
      <c r="M222" s="295"/>
      <c r="N222" s="295"/>
      <c r="O222" s="295"/>
      <c r="P222" s="295"/>
      <c r="Q222" s="296"/>
      <c r="R222" s="227"/>
      <c r="S222" s="228">
        <f ca="1">IF(C222="",NA(),MATCH($B222&amp;$C222,'Smelter Reference List'!$J:$J,0))</f>
        <v>475</v>
      </c>
      <c r="T222" s="229"/>
      <c r="U222" s="229">
        <f t="shared" ca="1" si="8"/>
        <v>0</v>
      </c>
      <c r="V222" s="229"/>
      <c r="W222" s="229"/>
      <c r="Y222" s="223" t="str">
        <f t="shared" ca="1" si="9"/>
        <v>TungstenChenzhou Diamond Tungsten Products Co., Ltd.</v>
      </c>
    </row>
    <row r="223" spans="1:25" s="223" customFormat="1" ht="20.25">
      <c r="A223" s="291" t="s">
        <v>2648</v>
      </c>
      <c r="B223" s="292" t="str">
        <f ca="1">IF(LEN(A223)=0,"",INDEX('Smelter Reference List'!$A:$A,MATCH($A223,'Smelter Reference List'!$E:$E,0)))</f>
        <v>Gold</v>
      </c>
      <c r="C223" s="298" t="str">
        <f ca="1">IF(LEN(A223)=0,"",INDEX('Smelter Reference List'!$C:$C,MATCH($A223,'Smelter Reference List'!$E:$E,0)))</f>
        <v>Singway Technology Co., Ltd.</v>
      </c>
      <c r="D223" s="292" t="str">
        <f ca="1">IF(ISERROR($S223),"",OFFSET('Smelter Reference List'!$C$4,$S223-4,0)&amp;"")</f>
        <v>Singway Technology Co., Ltd.</v>
      </c>
      <c r="E223" s="292" t="str">
        <f ca="1">IF(ISERROR($S223),"",OFFSET('Smelter Reference List'!$D$4,$S223-4,0)&amp;"")</f>
        <v>TAIWAN, PROVINCE OF CHINA</v>
      </c>
      <c r="F223" s="292" t="str">
        <f ca="1">IF(ISERROR($S223),"",OFFSET('Smelter Reference List'!$E$4,$S223-4,0))</f>
        <v>CID002516</v>
      </c>
      <c r="G223" s="292" t="str">
        <f ca="1">IF(C223=$U$4,"Enter smelter details", IF(ISERROR($S223),"",OFFSET('Smelter Reference List'!$F$4,$S223-4,0)))</f>
        <v>CFSI</v>
      </c>
      <c r="H223" s="293">
        <f ca="1">IF(ISERROR($S223),"",OFFSET('Smelter Reference List'!$G$4,$S223-4,0))</f>
        <v>0</v>
      </c>
      <c r="I223" s="294" t="str">
        <f ca="1">IF(ISERROR($S223),"",OFFSET('Smelter Reference List'!$H$4,$S223-4,0))</f>
        <v>Dayuan</v>
      </c>
      <c r="J223" s="294" t="str">
        <f ca="1">IF(ISERROR($S223),"",OFFSET('Smelter Reference List'!$I$4,$S223-4,0))</f>
        <v>Taoyuan</v>
      </c>
      <c r="K223" s="295"/>
      <c r="L223" s="295"/>
      <c r="M223" s="295"/>
      <c r="N223" s="295"/>
      <c r="O223" s="295"/>
      <c r="P223" s="295"/>
      <c r="Q223" s="296"/>
      <c r="R223" s="227"/>
      <c r="S223" s="228">
        <f ca="1">IF(C223="",NA(),MATCH($B223&amp;$C223,'Smelter Reference List'!$J:$J,0))</f>
        <v>185</v>
      </c>
      <c r="T223" s="229"/>
      <c r="U223" s="229">
        <f t="shared" ca="1" si="8"/>
        <v>0</v>
      </c>
      <c r="V223" s="229"/>
      <c r="W223" s="229"/>
      <c r="Y223" s="223" t="str">
        <f t="shared" ca="1" si="9"/>
        <v>GoldSingway Technology Co., Ltd.</v>
      </c>
    </row>
    <row r="224" spans="1:25" s="223" customFormat="1" ht="20.25">
      <c r="A224" s="291" t="s">
        <v>2659</v>
      </c>
      <c r="B224" s="292" t="str">
        <f ca="1">IF(LEN(A224)=0,"",INDEX('Smelter Reference List'!$A:$A,MATCH($A224,'Smelter Reference List'!$E:$E,0)))</f>
        <v>Tin</v>
      </c>
      <c r="C224" s="298" t="str">
        <f ca="1">IF(LEN(A224)=0,"",INDEX('Smelter Reference List'!$C:$C,MATCH($A224,'Smelter Reference List'!$E:$E,0)))</f>
        <v>O.M. Manufacturing Philippines, Inc.</v>
      </c>
      <c r="D224" s="292" t="str">
        <f ca="1">IF(ISERROR($S224),"",OFFSET('Smelter Reference List'!$C$4,$S224-4,0)&amp;"")</f>
        <v>O.M. Manufacturing Philippines, Inc.</v>
      </c>
      <c r="E224" s="292" t="str">
        <f ca="1">IF(ISERROR($S224),"",OFFSET('Smelter Reference List'!$D$4,$S224-4,0)&amp;"")</f>
        <v>PHILIPPINES</v>
      </c>
      <c r="F224" s="292" t="str">
        <f ca="1">IF(ISERROR($S224),"",OFFSET('Smelter Reference List'!$E$4,$S224-4,0))</f>
        <v>CID002517</v>
      </c>
      <c r="G224" s="292" t="str">
        <f ca="1">IF(C224=$U$4,"Enter smelter details", IF(ISERROR($S224),"",OFFSET('Smelter Reference List'!$F$4,$S224-4,0)))</f>
        <v>CFSI</v>
      </c>
      <c r="H224" s="293">
        <f ca="1">IF(ISERROR($S224),"",OFFSET('Smelter Reference List'!$G$4,$S224-4,0))</f>
        <v>0</v>
      </c>
      <c r="I224" s="294" t="str">
        <f ca="1">IF(ISERROR($S224),"",OFFSET('Smelter Reference List'!$H$4,$S224-4,0))</f>
        <v>Cavite Economic Zone</v>
      </c>
      <c r="J224" s="294" t="str">
        <f ca="1">IF(ISERROR($S224),"",OFFSET('Smelter Reference List'!$I$4,$S224-4,0))</f>
        <v>Rosario Cavite</v>
      </c>
      <c r="K224" s="295"/>
      <c r="L224" s="295"/>
      <c r="M224" s="295"/>
      <c r="N224" s="295"/>
      <c r="O224" s="295"/>
      <c r="P224" s="295"/>
      <c r="Q224" s="296"/>
      <c r="R224" s="227"/>
      <c r="S224" s="228">
        <f ca="1">IF(C224="",NA(),MATCH($B224&amp;$C224,'Smelter Reference List'!$J:$J,0))</f>
        <v>395</v>
      </c>
      <c r="T224" s="229"/>
      <c r="U224" s="229">
        <f t="shared" ca="1" si="8"/>
        <v>0</v>
      </c>
      <c r="V224" s="229"/>
      <c r="W224" s="229"/>
      <c r="Y224" s="223" t="str">
        <f t="shared" ca="1" si="9"/>
        <v>TinO.M. Manufacturing Philippines, Inc.</v>
      </c>
    </row>
    <row r="225" spans="1:25" s="223" customFormat="1" ht="20.25">
      <c r="A225" s="291" t="s">
        <v>2663</v>
      </c>
      <c r="B225" s="292" t="str">
        <f ca="1">IF(LEN(A225)=0,"",INDEX('Smelter Reference List'!$A:$A,MATCH($A225,'Smelter Reference List'!$E:$E,0)))</f>
        <v>Tin</v>
      </c>
      <c r="C225" s="298" t="str">
        <f ca="1">IF(LEN(A225)=0,"",INDEX('Smelter Reference List'!$C:$C,MATCH($A225,'Smelter Reference List'!$E:$E,0)))</f>
        <v>PT Inti Stania Prima</v>
      </c>
      <c r="D225" s="292" t="str">
        <f ca="1">IF(ISERROR($S225),"",OFFSET('Smelter Reference List'!$C$4,$S225-4,0)&amp;"")</f>
        <v>PT Inti Stania Prima</v>
      </c>
      <c r="E225" s="292" t="str">
        <f ca="1">IF(ISERROR($S225),"",OFFSET('Smelter Reference List'!$D$4,$S225-4,0)&amp;"")</f>
        <v>INDONESIA</v>
      </c>
      <c r="F225" s="292" t="str">
        <f ca="1">IF(ISERROR($S225),"",OFFSET('Smelter Reference List'!$E$4,$S225-4,0))</f>
        <v>CID002530</v>
      </c>
      <c r="G225" s="292" t="str">
        <f ca="1">IF(C225=$U$4,"Enter smelter details", IF(ISERROR($S225),"",OFFSET('Smelter Reference List'!$F$4,$S225-4,0)))</f>
        <v>CFSI</v>
      </c>
      <c r="H225" s="293">
        <f ca="1">IF(ISERROR($S225),"",OFFSET('Smelter Reference List'!$G$4,$S225-4,0))</f>
        <v>0</v>
      </c>
      <c r="I225" s="294" t="str">
        <f ca="1">IF(ISERROR($S225),"",OFFSET('Smelter Reference List'!$H$4,$S225-4,0))</f>
        <v>Sungailiat</v>
      </c>
      <c r="J225" s="294" t="str">
        <f ca="1">IF(ISERROR($S225),"",OFFSET('Smelter Reference List'!$I$4,$S225-4,0))</f>
        <v>Bangka</v>
      </c>
      <c r="K225" s="295"/>
      <c r="L225" s="295"/>
      <c r="M225" s="295"/>
      <c r="N225" s="295"/>
      <c r="O225" s="295"/>
      <c r="P225" s="295"/>
      <c r="Q225" s="296"/>
      <c r="R225" s="227"/>
      <c r="S225" s="228">
        <f ca="1">IF(C225="",NA(),MATCH($B225&amp;$C225,'Smelter Reference List'!$J:$J,0))</f>
        <v>413</v>
      </c>
      <c r="T225" s="229"/>
      <c r="U225" s="229">
        <f t="shared" ca="1" si="8"/>
        <v>0</v>
      </c>
      <c r="V225" s="229"/>
      <c r="W225" s="229"/>
      <c r="Y225" s="223" t="str">
        <f t="shared" ca="1" si="9"/>
        <v>TinPT Inti Stania Prima</v>
      </c>
    </row>
    <row r="226" spans="1:25" s="223" customFormat="1" ht="20.25">
      <c r="A226" s="291" t="s">
        <v>2676</v>
      </c>
      <c r="B226" s="292" t="str">
        <f ca="1">IF(LEN(A226)=0,"",INDEX('Smelter Reference List'!$A:$A,MATCH($A226,'Smelter Reference List'!$E:$E,0)))</f>
        <v>Tungsten</v>
      </c>
      <c r="C226" s="298" t="str">
        <f ca="1">IF(LEN(A226)=0,"",INDEX('Smelter Reference List'!$C:$C,MATCH($A226,'Smelter Reference List'!$E:$E,0)))</f>
        <v>Jiangxi Xiushui Xianggan Nonferrous Metals Co., Ltd.</v>
      </c>
      <c r="D226" s="292" t="str">
        <f ca="1">IF(ISERROR($S226),"",OFFSET('Smelter Reference List'!$C$4,$S226-4,0)&amp;"")</f>
        <v>Jiangxi Xiushui Xianggan Nonferrous Metals Co., Ltd.</v>
      </c>
      <c r="E226" s="292" t="str">
        <f ca="1">IF(ISERROR($S226),"",OFFSET('Smelter Reference List'!$D$4,$S226-4,0)&amp;"")</f>
        <v>CHINA</v>
      </c>
      <c r="F226" s="292" t="str">
        <f ca="1">IF(ISERROR($S226),"",OFFSET('Smelter Reference List'!$E$4,$S226-4,0))</f>
        <v>CID002535</v>
      </c>
      <c r="G226" s="292" t="str">
        <f ca="1">IF(C226=$U$4,"Enter smelter details", IF(ISERROR($S226),"",OFFSET('Smelter Reference List'!$F$4,$S226-4,0)))</f>
        <v>CFSI</v>
      </c>
      <c r="H226" s="293">
        <f ca="1">IF(ISERROR($S226),"",OFFSET('Smelter Reference List'!$G$4,$S226-4,0))</f>
        <v>0</v>
      </c>
      <c r="I226" s="294" t="str">
        <f ca="1">IF(ISERROR($S226),"",OFFSET('Smelter Reference List'!$H$4,$S226-4,0))</f>
        <v>Xiushui</v>
      </c>
      <c r="J226" s="294" t="str">
        <f ca="1">IF(ISERROR($S226),"",OFFSET('Smelter Reference List'!$I$4,$S226-4,0))</f>
        <v>Jiangxi</v>
      </c>
      <c r="K226" s="295"/>
      <c r="L226" s="295"/>
      <c r="M226" s="295"/>
      <c r="N226" s="295"/>
      <c r="O226" s="295"/>
      <c r="P226" s="295"/>
      <c r="Q226" s="296"/>
      <c r="R226" s="227"/>
      <c r="S226" s="228">
        <f ca="1">IF(C226="",NA(),MATCH($B226&amp;$C226,'Smelter Reference List'!$J:$J,0))</f>
        <v>505</v>
      </c>
      <c r="T226" s="229"/>
      <c r="U226" s="229">
        <f t="shared" ca="1" si="8"/>
        <v>0</v>
      </c>
      <c r="V226" s="229"/>
      <c r="W226" s="229"/>
      <c r="Y226" s="223" t="str">
        <f t="shared" ca="1" si="9"/>
        <v>TungstenJiangxi Xiushui Xianggan Nonferrous Metals Co., Ltd.</v>
      </c>
    </row>
    <row r="227" spans="1:25" s="223" customFormat="1" ht="20.25">
      <c r="A227" s="291" t="s">
        <v>2674</v>
      </c>
      <c r="B227" s="292" t="str">
        <f ca="1">IF(LEN(A227)=0,"",INDEX('Smelter Reference List'!$A:$A,MATCH($A227,'Smelter Reference List'!$E:$E,0)))</f>
        <v>Tungsten</v>
      </c>
      <c r="C227" s="298" t="str">
        <f ca="1">IF(LEN(A227)=0,"",INDEX('Smelter Reference List'!$C:$C,MATCH($A227,'Smelter Reference List'!$E:$E,0)))</f>
        <v>Ganzhou Yatai Tungsten Co., Ltd.</v>
      </c>
      <c r="D227" s="292" t="str">
        <f ca="1">IF(ISERROR($S227),"",OFFSET('Smelter Reference List'!$C$4,$S227-4,0)&amp;"")</f>
        <v>Ganzhou Yatai Tungsten Co., Ltd.</v>
      </c>
      <c r="E227" s="292" t="str">
        <f ca="1">IF(ISERROR($S227),"",OFFSET('Smelter Reference List'!$D$4,$S227-4,0)&amp;"")</f>
        <v>CHINA</v>
      </c>
      <c r="F227" s="292" t="str">
        <f ca="1">IF(ISERROR($S227),"",OFFSET('Smelter Reference List'!$E$4,$S227-4,0))</f>
        <v>CID002536</v>
      </c>
      <c r="G227" s="292" t="str">
        <f ca="1">IF(C227=$U$4,"Enter smelter details", IF(ISERROR($S227),"",OFFSET('Smelter Reference List'!$F$4,$S227-4,0)))</f>
        <v>CFSI</v>
      </c>
      <c r="H227" s="293">
        <f ca="1">IF(ISERROR($S227),"",OFFSET('Smelter Reference List'!$G$4,$S227-4,0))</f>
        <v>0</v>
      </c>
      <c r="I227" s="294" t="str">
        <f ca="1">IF(ISERROR($S227),"",OFFSET('Smelter Reference List'!$H$4,$S227-4,0))</f>
        <v>Ganzhou</v>
      </c>
      <c r="J227" s="294" t="str">
        <f ca="1">IF(ISERROR($S227),"",OFFSET('Smelter Reference List'!$I$4,$S227-4,0))</f>
        <v>Jiangxi</v>
      </c>
      <c r="K227" s="295"/>
      <c r="L227" s="295"/>
      <c r="M227" s="295"/>
      <c r="N227" s="295"/>
      <c r="O227" s="295"/>
      <c r="P227" s="295"/>
      <c r="Q227" s="296"/>
      <c r="R227" s="227"/>
      <c r="S227" s="228">
        <f ca="1">IF(C227="",NA(),MATCH($B227&amp;$C227,'Smelter Reference List'!$J:$J,0))</f>
        <v>484</v>
      </c>
      <c r="T227" s="229"/>
      <c r="U227" s="229">
        <f t="shared" ca="1" si="8"/>
        <v>0</v>
      </c>
      <c r="V227" s="229"/>
      <c r="W227" s="229"/>
      <c r="Y227" s="223" t="str">
        <f t="shared" ca="1" si="9"/>
        <v>TungstenGanzhou Yatai Tungsten Co., Ltd.</v>
      </c>
    </row>
    <row r="228" spans="1:25" s="223" customFormat="1" ht="20.25">
      <c r="A228" s="291" t="s">
        <v>2700</v>
      </c>
      <c r="B228" s="292" t="str">
        <f ca="1">IF(LEN(A228)=0,"",INDEX('Smelter Reference List'!$A:$A,MATCH($A228,'Smelter Reference List'!$E:$E,0)))</f>
        <v>Tantalum</v>
      </c>
      <c r="C228" s="298" t="str">
        <f ca="1">IF(LEN(A228)=0,"",INDEX('Smelter Reference List'!$C:$C,MATCH($A228,'Smelter Reference List'!$E:$E,0)))</f>
        <v>KEMET Blue Metals</v>
      </c>
      <c r="D228" s="292" t="str">
        <f ca="1">IF(ISERROR($S228),"",OFFSET('Smelter Reference List'!$C$4,$S228-4,0)&amp;"")</f>
        <v>KEMET Blue Metals</v>
      </c>
      <c r="E228" s="292" t="str">
        <f ca="1">IF(ISERROR($S228),"",OFFSET('Smelter Reference List'!$D$4,$S228-4,0)&amp;"")</f>
        <v>MEXICO</v>
      </c>
      <c r="F228" s="292" t="str">
        <f ca="1">IF(ISERROR($S228),"",OFFSET('Smelter Reference List'!$E$4,$S228-4,0))</f>
        <v>CID002539</v>
      </c>
      <c r="G228" s="292" t="str">
        <f ca="1">IF(C228=$U$4,"Enter smelter details", IF(ISERROR($S228),"",OFFSET('Smelter Reference List'!$F$4,$S228-4,0)))</f>
        <v>CFSI</v>
      </c>
      <c r="H228" s="293">
        <f ca="1">IF(ISERROR($S228),"",OFFSET('Smelter Reference List'!$G$4,$S228-4,0))</f>
        <v>0</v>
      </c>
      <c r="I228" s="294" t="str">
        <f ca="1">IF(ISERROR($S228),"",OFFSET('Smelter Reference List'!$H$4,$S228-4,0))</f>
        <v>Matamoros</v>
      </c>
      <c r="J228" s="294" t="str">
        <f ca="1">IF(ISERROR($S228),"",OFFSET('Smelter Reference List'!$I$4,$S228-4,0))</f>
        <v>Tamaulipas</v>
      </c>
      <c r="K228" s="295"/>
      <c r="L228" s="295"/>
      <c r="M228" s="295"/>
      <c r="N228" s="295"/>
      <c r="O228" s="295"/>
      <c r="P228" s="295"/>
      <c r="Q228" s="296"/>
      <c r="R228" s="227"/>
      <c r="S228" s="228">
        <f ca="1">IF(C228="",NA(),MATCH($B228&amp;$C228,'Smelter Reference List'!$J:$J,0))</f>
        <v>274</v>
      </c>
      <c r="T228" s="229"/>
      <c r="U228" s="229">
        <f t="shared" ca="1" si="8"/>
        <v>0</v>
      </c>
      <c r="V228" s="229"/>
      <c r="W228" s="229"/>
      <c r="Y228" s="223" t="str">
        <f t="shared" ca="1" si="9"/>
        <v>TantalumKEMET Blue Metals</v>
      </c>
    </row>
    <row r="229" spans="1:25" s="223" customFormat="1" ht="20.25">
      <c r="A229" s="291" t="s">
        <v>2702</v>
      </c>
      <c r="B229" s="292" t="str">
        <f ca="1">IF(LEN(A229)=0,"",INDEX('Smelter Reference List'!$A:$A,MATCH($A229,'Smelter Reference List'!$E:$E,0)))</f>
        <v>Tantalum</v>
      </c>
      <c r="C229" s="298" t="str">
        <f ca="1">IF(LEN(A229)=0,"",INDEX('Smelter Reference List'!$C:$C,MATCH($A229,'Smelter Reference List'!$E:$E,0)))</f>
        <v>Plansee SE Liezen</v>
      </c>
      <c r="D229" s="292" t="str">
        <f ca="1">IF(ISERROR($S229),"",OFFSET('Smelter Reference List'!$C$4,$S229-4,0)&amp;"")</f>
        <v>Plansee SE Liezen</v>
      </c>
      <c r="E229" s="292" t="str">
        <f ca="1">IF(ISERROR($S229),"",OFFSET('Smelter Reference List'!$D$4,$S229-4,0)&amp;"")</f>
        <v>AUSTRIA</v>
      </c>
      <c r="F229" s="292" t="str">
        <f ca="1">IF(ISERROR($S229),"",OFFSET('Smelter Reference List'!$E$4,$S229-4,0))</f>
        <v>CID002540</v>
      </c>
      <c r="G229" s="292" t="str">
        <f ca="1">IF(C229=$U$4,"Enter smelter details", IF(ISERROR($S229),"",OFFSET('Smelter Reference List'!$F$4,$S229-4,0)))</f>
        <v>CFSI</v>
      </c>
      <c r="H229" s="293">
        <f ca="1">IF(ISERROR($S229),"",OFFSET('Smelter Reference List'!$G$4,$S229-4,0))</f>
        <v>0</v>
      </c>
      <c r="I229" s="294" t="str">
        <f ca="1">IF(ISERROR($S229),"",OFFSET('Smelter Reference List'!$H$4,$S229-4,0))</f>
        <v>Liezen</v>
      </c>
      <c r="J229" s="294" t="str">
        <f ca="1">IF(ISERROR($S229),"",OFFSET('Smelter Reference List'!$I$4,$S229-4,0))</f>
        <v>Styria</v>
      </c>
      <c r="K229" s="295"/>
      <c r="L229" s="295"/>
      <c r="M229" s="295"/>
      <c r="N229" s="295"/>
      <c r="O229" s="295"/>
      <c r="P229" s="295"/>
      <c r="Q229" s="296"/>
      <c r="R229" s="227"/>
      <c r="S229" s="228">
        <f ca="1">IF(C229="",NA(),MATCH($B229&amp;$C229,'Smelter Reference List'!$J:$J,0))</f>
        <v>285</v>
      </c>
      <c r="T229" s="229"/>
      <c r="U229" s="229">
        <f t="shared" ca="1" si="8"/>
        <v>0</v>
      </c>
      <c r="V229" s="229"/>
      <c r="W229" s="229"/>
      <c r="Y229" s="223" t="str">
        <f t="shared" ca="1" si="9"/>
        <v>TantalumPlansee SE Liezen</v>
      </c>
    </row>
    <row r="230" spans="1:25" s="223" customFormat="1" ht="20.25">
      <c r="A230" s="291" t="s">
        <v>2707</v>
      </c>
      <c r="B230" s="292" t="str">
        <f ca="1">IF(LEN(A230)=0,"",INDEX('Smelter Reference List'!$A:$A,MATCH($A230,'Smelter Reference List'!$E:$E,0)))</f>
        <v>Tungsten</v>
      </c>
      <c r="C230" s="298" t="str">
        <f ca="1">IF(LEN(A230)=0,"",INDEX('Smelter Reference List'!$C:$C,MATCH($A230,'Smelter Reference List'!$E:$E,0)))</f>
        <v>H.C. Starck GmbH</v>
      </c>
      <c r="D230" s="292" t="str">
        <f ca="1">IF(ISERROR($S230),"",OFFSET('Smelter Reference List'!$C$4,$S230-4,0)&amp;"")</f>
        <v>H.C. Starck GmbH</v>
      </c>
      <c r="E230" s="292" t="str">
        <f ca="1">IF(ISERROR($S230),"",OFFSET('Smelter Reference List'!$D$4,$S230-4,0)&amp;"")</f>
        <v>GERMANY</v>
      </c>
      <c r="F230" s="292" t="str">
        <f ca="1">IF(ISERROR($S230),"",OFFSET('Smelter Reference List'!$E$4,$S230-4,0))</f>
        <v>CID002541</v>
      </c>
      <c r="G230" s="292" t="str">
        <f ca="1">IF(C230=$U$4,"Enter smelter details", IF(ISERROR($S230),"",OFFSET('Smelter Reference List'!$F$4,$S230-4,0)))</f>
        <v>CFSI</v>
      </c>
      <c r="H230" s="293">
        <f ca="1">IF(ISERROR($S230),"",OFFSET('Smelter Reference List'!$G$4,$S230-4,0))</f>
        <v>0</v>
      </c>
      <c r="I230" s="294" t="str">
        <f ca="1">IF(ISERROR($S230),"",OFFSET('Smelter Reference List'!$H$4,$S230-4,0))</f>
        <v>Goslar</v>
      </c>
      <c r="J230" s="294" t="str">
        <f ca="1">IF(ISERROR($S230),"",OFFSET('Smelter Reference List'!$I$4,$S230-4,0))</f>
        <v>Lower Saxony</v>
      </c>
      <c r="K230" s="295"/>
      <c r="L230" s="295"/>
      <c r="M230" s="295"/>
      <c r="N230" s="295"/>
      <c r="O230" s="295"/>
      <c r="P230" s="295"/>
      <c r="Q230" s="296"/>
      <c r="R230" s="227"/>
      <c r="S230" s="228">
        <f ca="1">IF(C230="",NA(),MATCH($B230&amp;$C230,'Smelter Reference List'!$J:$J,0))</f>
        <v>488</v>
      </c>
      <c r="T230" s="229"/>
      <c r="U230" s="229">
        <f t="shared" ca="1" si="8"/>
        <v>0</v>
      </c>
      <c r="V230" s="229"/>
      <c r="W230" s="229"/>
      <c r="Y230" s="223" t="str">
        <f t="shared" ca="1" si="9"/>
        <v>TungstenH.C. Starck GmbH</v>
      </c>
    </row>
    <row r="231" spans="1:25" s="223" customFormat="1" ht="20.25">
      <c r="A231" s="291" t="s">
        <v>2708</v>
      </c>
      <c r="B231" s="292" t="str">
        <f ca="1">IF(LEN(A231)=0,"",INDEX('Smelter Reference List'!$A:$A,MATCH($A231,'Smelter Reference List'!$E:$E,0)))</f>
        <v>Tungsten</v>
      </c>
      <c r="C231" s="298" t="str">
        <f ca="1">IF(LEN(A231)=0,"",INDEX('Smelter Reference List'!$C:$C,MATCH($A231,'Smelter Reference List'!$E:$E,0)))</f>
        <v>H.C. Starck Smelting GmbH &amp; Co.KG</v>
      </c>
      <c r="D231" s="292" t="str">
        <f ca="1">IF(ISERROR($S231),"",OFFSET('Smelter Reference List'!$C$4,$S231-4,0)&amp;"")</f>
        <v>H.C. Starck Smelting GmbH &amp; Co.KG</v>
      </c>
      <c r="E231" s="292" t="str">
        <f ca="1">IF(ISERROR($S231),"",OFFSET('Smelter Reference List'!$D$4,$S231-4,0)&amp;"")</f>
        <v>GERMANY</v>
      </c>
      <c r="F231" s="292" t="str">
        <f ca="1">IF(ISERROR($S231),"",OFFSET('Smelter Reference List'!$E$4,$S231-4,0))</f>
        <v>CID002542</v>
      </c>
      <c r="G231" s="292" t="str">
        <f ca="1">IF(C231=$U$4,"Enter smelter details", IF(ISERROR($S231),"",OFFSET('Smelter Reference List'!$F$4,$S231-4,0)))</f>
        <v>CFSI</v>
      </c>
      <c r="H231" s="293">
        <f ca="1">IF(ISERROR($S231),"",OFFSET('Smelter Reference List'!$G$4,$S231-4,0))</f>
        <v>0</v>
      </c>
      <c r="I231" s="294" t="str">
        <f ca="1">IF(ISERROR($S231),"",OFFSET('Smelter Reference List'!$H$4,$S231-4,0))</f>
        <v>Laufenburg</v>
      </c>
      <c r="J231" s="294" t="str">
        <f ca="1">IF(ISERROR($S231),"",OFFSET('Smelter Reference List'!$I$4,$S231-4,0))</f>
        <v>Baden-Württemberg</v>
      </c>
      <c r="K231" s="295"/>
      <c r="L231" s="295"/>
      <c r="M231" s="295"/>
      <c r="N231" s="295"/>
      <c r="O231" s="295"/>
      <c r="P231" s="295"/>
      <c r="Q231" s="296"/>
      <c r="R231" s="227"/>
      <c r="S231" s="228">
        <f ca="1">IF(C231="",NA(),MATCH($B231&amp;$C231,'Smelter Reference List'!$J:$J,0))</f>
        <v>489</v>
      </c>
      <c r="T231" s="229"/>
      <c r="U231" s="229">
        <f t="shared" ca="1" si="8"/>
        <v>0</v>
      </c>
      <c r="V231" s="229"/>
      <c r="W231" s="229"/>
      <c r="Y231" s="223" t="str">
        <f t="shared" ca="1" si="9"/>
        <v>TungstenH.C. Starck Smelting GmbH &amp; Co.KG</v>
      </c>
    </row>
    <row r="232" spans="1:25" s="223" customFormat="1" ht="20.25">
      <c r="A232" s="291" t="s">
        <v>2711</v>
      </c>
      <c r="B232" s="292" t="str">
        <f ca="1">IF(LEN(A232)=0,"",INDEX('Smelter Reference List'!$A:$A,MATCH($A232,'Smelter Reference List'!$E:$E,0)))</f>
        <v>Tungsten</v>
      </c>
      <c r="C232" s="298" t="str">
        <f ca="1">IF(LEN(A232)=0,"",INDEX('Smelter Reference List'!$C:$C,MATCH($A232,'Smelter Reference List'!$E:$E,0)))</f>
        <v>Nui Phao H.C. Starck Tungsten Chemicals Manufacturing LLC</v>
      </c>
      <c r="D232" s="292" t="str">
        <f ca="1">IF(ISERROR($S232),"",OFFSET('Smelter Reference List'!$C$4,$S232-4,0)&amp;"")</f>
        <v>Nui Phao H.C. Starck Tungsten Chemicals Manufacturing LLC</v>
      </c>
      <c r="E232" s="292" t="str">
        <f ca="1">IF(ISERROR($S232),"",OFFSET('Smelter Reference List'!$D$4,$S232-4,0)&amp;"")</f>
        <v>VIET NAM</v>
      </c>
      <c r="F232" s="292" t="str">
        <f ca="1">IF(ISERROR($S232),"",OFFSET('Smelter Reference List'!$E$4,$S232-4,0))</f>
        <v>CID002543</v>
      </c>
      <c r="G232" s="292" t="str">
        <f ca="1">IF(C232=$U$4,"Enter smelter details", IF(ISERROR($S232),"",OFFSET('Smelter Reference List'!$F$4,$S232-4,0)))</f>
        <v>CFSI</v>
      </c>
      <c r="H232" s="293">
        <f ca="1">IF(ISERROR($S232),"",OFFSET('Smelter Reference List'!$G$4,$S232-4,0))</f>
        <v>0</v>
      </c>
      <c r="I232" s="294" t="str">
        <f ca="1">IF(ISERROR($S232),"",OFFSET('Smelter Reference List'!$H$4,$S232-4,0))</f>
        <v>Dai Tu</v>
      </c>
      <c r="J232" s="294" t="str">
        <f ca="1">IF(ISERROR($S232),"",OFFSET('Smelter Reference List'!$I$4,$S232-4,0))</f>
        <v>Thai Nguyen</v>
      </c>
      <c r="K232" s="295"/>
      <c r="L232" s="295"/>
      <c r="M232" s="295"/>
      <c r="N232" s="295"/>
      <c r="O232" s="295"/>
      <c r="P232" s="295"/>
      <c r="Q232" s="296"/>
      <c r="R232" s="227"/>
      <c r="S232" s="228">
        <f ca="1">IF(C232="",NA(),MATCH($B232&amp;$C232,'Smelter Reference List'!$J:$J,0))</f>
        <v>512</v>
      </c>
      <c r="T232" s="229"/>
      <c r="U232" s="229">
        <f t="shared" ca="1" si="8"/>
        <v>0</v>
      </c>
      <c r="V232" s="229"/>
      <c r="W232" s="229"/>
      <c r="Y232" s="223" t="str">
        <f t="shared" ca="1" si="9"/>
        <v>TungstenNui Phao H.C. Starck Tungsten Chemicals Manufacturing LLC</v>
      </c>
    </row>
    <row r="233" spans="1:25" s="223" customFormat="1" ht="20.25">
      <c r="A233" s="291" t="s">
        <v>2686</v>
      </c>
      <c r="B233" s="292" t="str">
        <f ca="1">IF(LEN(A233)=0,"",INDEX('Smelter Reference List'!$A:$A,MATCH($A233,'Smelter Reference List'!$E:$E,0)))</f>
        <v>Tantalum</v>
      </c>
      <c r="C233" s="298" t="str">
        <f ca="1">IF(LEN(A233)=0,"",INDEX('Smelter Reference List'!$C:$C,MATCH($A233,'Smelter Reference List'!$E:$E,0)))</f>
        <v>H.C. Starck Co., Ltd.</v>
      </c>
      <c r="D233" s="292" t="str">
        <f ca="1">IF(ISERROR($S233),"",OFFSET('Smelter Reference List'!$C$4,$S233-4,0)&amp;"")</f>
        <v>H.C. Starck Co., Ltd.</v>
      </c>
      <c r="E233" s="292" t="str">
        <f ca="1">IF(ISERROR($S233),"",OFFSET('Smelter Reference List'!$D$4,$S233-4,0)&amp;"")</f>
        <v>THAILAND</v>
      </c>
      <c r="F233" s="292" t="str">
        <f ca="1">IF(ISERROR($S233),"",OFFSET('Smelter Reference List'!$E$4,$S233-4,0))</f>
        <v>CID002544</v>
      </c>
      <c r="G233" s="292" t="str">
        <f ca="1">IF(C233=$U$4,"Enter smelter details", IF(ISERROR($S233),"",OFFSET('Smelter Reference List'!$F$4,$S233-4,0)))</f>
        <v>CFSI</v>
      </c>
      <c r="H233" s="293">
        <f ca="1">IF(ISERROR($S233),"",OFFSET('Smelter Reference List'!$G$4,$S233-4,0))</f>
        <v>0</v>
      </c>
      <c r="I233" s="294" t="str">
        <f ca="1">IF(ISERROR($S233),"",OFFSET('Smelter Reference List'!$H$4,$S233-4,0))</f>
        <v>Map Ta Phut</v>
      </c>
      <c r="J233" s="294" t="str">
        <f ca="1">IF(ISERROR($S233),"",OFFSET('Smelter Reference List'!$I$4,$S233-4,0))</f>
        <v>Rayong</v>
      </c>
      <c r="K233" s="295"/>
      <c r="L233" s="295"/>
      <c r="M233" s="295"/>
      <c r="N233" s="295"/>
      <c r="O233" s="295"/>
      <c r="P233" s="295"/>
      <c r="Q233" s="296"/>
      <c r="R233" s="227"/>
      <c r="S233" s="228">
        <f ca="1">IF(C233="",NA(),MATCH($B233&amp;$C233,'Smelter Reference List'!$J:$J,0))</f>
        <v>259</v>
      </c>
      <c r="T233" s="229"/>
      <c r="U233" s="229">
        <f t="shared" ca="1" si="8"/>
        <v>0</v>
      </c>
      <c r="V233" s="229"/>
      <c r="W233" s="229"/>
      <c r="Y233" s="223" t="str">
        <f t="shared" ca="1" si="9"/>
        <v>TantalumH.C. Starck Co., Ltd.</v>
      </c>
    </row>
    <row r="234" spans="1:25" s="223" customFormat="1" ht="20.25">
      <c r="A234" s="291" t="s">
        <v>2688</v>
      </c>
      <c r="B234" s="292" t="str">
        <f ca="1">IF(LEN(A234)=0,"",INDEX('Smelter Reference List'!$A:$A,MATCH($A234,'Smelter Reference List'!$E:$E,0)))</f>
        <v>Tantalum</v>
      </c>
      <c r="C234" s="298" t="str">
        <f ca="1">IF(LEN(A234)=0,"",INDEX('Smelter Reference List'!$C:$C,MATCH($A234,'Smelter Reference List'!$E:$E,0)))</f>
        <v>H.C. Starck GmbH Goslar</v>
      </c>
      <c r="D234" s="292" t="str">
        <f ca="1">IF(ISERROR($S234),"",OFFSET('Smelter Reference List'!$C$4,$S234-4,0)&amp;"")</f>
        <v>H.C. Starck GmbH Goslar</v>
      </c>
      <c r="E234" s="292" t="str">
        <f ca="1">IF(ISERROR($S234),"",OFFSET('Smelter Reference List'!$D$4,$S234-4,0)&amp;"")</f>
        <v>GERMANY</v>
      </c>
      <c r="F234" s="292" t="str">
        <f ca="1">IF(ISERROR($S234),"",OFFSET('Smelter Reference List'!$E$4,$S234-4,0))</f>
        <v>CID002545</v>
      </c>
      <c r="G234" s="292" t="str">
        <f ca="1">IF(C234=$U$4,"Enter smelter details", IF(ISERROR($S234),"",OFFSET('Smelter Reference List'!$F$4,$S234-4,0)))</f>
        <v>CFSI</v>
      </c>
      <c r="H234" s="293">
        <f ca="1">IF(ISERROR($S234),"",OFFSET('Smelter Reference List'!$G$4,$S234-4,0))</f>
        <v>0</v>
      </c>
      <c r="I234" s="294" t="str">
        <f ca="1">IF(ISERROR($S234),"",OFFSET('Smelter Reference List'!$H$4,$S234-4,0))</f>
        <v>Goslar</v>
      </c>
      <c r="J234" s="294" t="str">
        <f ca="1">IF(ISERROR($S234),"",OFFSET('Smelter Reference List'!$I$4,$S234-4,0))</f>
        <v>Lower Saxony</v>
      </c>
      <c r="K234" s="295"/>
      <c r="L234" s="295"/>
      <c r="M234" s="295"/>
      <c r="N234" s="295"/>
      <c r="O234" s="295"/>
      <c r="P234" s="295"/>
      <c r="Q234" s="296"/>
      <c r="R234" s="227"/>
      <c r="S234" s="228">
        <f ca="1">IF(C234="",NA(),MATCH($B234&amp;$C234,'Smelter Reference List'!$J:$J,0))</f>
        <v>260</v>
      </c>
      <c r="T234" s="229"/>
      <c r="U234" s="229">
        <f t="shared" ca="1" si="8"/>
        <v>0</v>
      </c>
      <c r="V234" s="229"/>
      <c r="W234" s="229"/>
      <c r="Y234" s="223" t="str">
        <f t="shared" ca="1" si="9"/>
        <v>TantalumH.C. Starck GmbH Goslar</v>
      </c>
    </row>
    <row r="235" spans="1:25" s="223" customFormat="1" ht="20.25">
      <c r="A235" s="291" t="s">
        <v>2690</v>
      </c>
      <c r="B235" s="292" t="str">
        <f ca="1">IF(LEN(A235)=0,"",INDEX('Smelter Reference List'!$A:$A,MATCH($A235,'Smelter Reference List'!$E:$E,0)))</f>
        <v>Tantalum</v>
      </c>
      <c r="C235" s="298" t="str">
        <f ca="1">IF(LEN(A235)=0,"",INDEX('Smelter Reference List'!$C:$C,MATCH($A235,'Smelter Reference List'!$E:$E,0)))</f>
        <v>H.C. Starck GmbH Laufenburg</v>
      </c>
      <c r="D235" s="292" t="str">
        <f ca="1">IF(ISERROR($S235),"",OFFSET('Smelter Reference List'!$C$4,$S235-4,0)&amp;"")</f>
        <v>H.C. Starck GmbH Laufenburg</v>
      </c>
      <c r="E235" s="292" t="str">
        <f ca="1">IF(ISERROR($S235),"",OFFSET('Smelter Reference List'!$D$4,$S235-4,0)&amp;"")</f>
        <v>GERMANY</v>
      </c>
      <c r="F235" s="292" t="str">
        <f ca="1">IF(ISERROR($S235),"",OFFSET('Smelter Reference List'!$E$4,$S235-4,0))</f>
        <v>CID002546</v>
      </c>
      <c r="G235" s="292" t="str">
        <f ca="1">IF(C235=$U$4,"Enter smelter details", IF(ISERROR($S235),"",OFFSET('Smelter Reference List'!$F$4,$S235-4,0)))</f>
        <v>CFSI</v>
      </c>
      <c r="H235" s="293">
        <f ca="1">IF(ISERROR($S235),"",OFFSET('Smelter Reference List'!$G$4,$S235-4,0))</f>
        <v>0</v>
      </c>
      <c r="I235" s="294" t="str">
        <f ca="1">IF(ISERROR($S235),"",OFFSET('Smelter Reference List'!$H$4,$S235-4,0))</f>
        <v>Laufenburg</v>
      </c>
      <c r="J235" s="294" t="str">
        <f ca="1">IF(ISERROR($S235),"",OFFSET('Smelter Reference List'!$I$4,$S235-4,0))</f>
        <v>Baden-Württemberg</v>
      </c>
      <c r="K235" s="295"/>
      <c r="L235" s="295"/>
      <c r="M235" s="295"/>
      <c r="N235" s="295"/>
      <c r="O235" s="295"/>
      <c r="P235" s="295"/>
      <c r="Q235" s="296"/>
      <c r="R235" s="227"/>
      <c r="S235" s="228">
        <f ca="1">IF(C235="",NA(),MATCH($B235&amp;$C235,'Smelter Reference List'!$J:$J,0))</f>
        <v>261</v>
      </c>
      <c r="T235" s="229"/>
      <c r="U235" s="229">
        <f t="shared" ca="1" si="8"/>
        <v>0</v>
      </c>
      <c r="V235" s="229"/>
      <c r="W235" s="229"/>
      <c r="Y235" s="223" t="str">
        <f t="shared" ca="1" si="9"/>
        <v>TantalumH.C. Starck GmbH Laufenburg</v>
      </c>
    </row>
    <row r="236" spans="1:25" s="223" customFormat="1" ht="20.25">
      <c r="A236" s="291" t="s">
        <v>2692</v>
      </c>
      <c r="B236" s="292" t="str">
        <f ca="1">IF(LEN(A236)=0,"",INDEX('Smelter Reference List'!$A:$A,MATCH($A236,'Smelter Reference List'!$E:$E,0)))</f>
        <v>Tantalum</v>
      </c>
      <c r="C236" s="298" t="str">
        <f ca="1">IF(LEN(A236)=0,"",INDEX('Smelter Reference List'!$C:$C,MATCH($A236,'Smelter Reference List'!$E:$E,0)))</f>
        <v>H.C. Starck Hermsdorf GmbH</v>
      </c>
      <c r="D236" s="292" t="str">
        <f ca="1">IF(ISERROR($S236),"",OFFSET('Smelter Reference List'!$C$4,$S236-4,0)&amp;"")</f>
        <v>H.C. Starck Hermsdorf GmbH</v>
      </c>
      <c r="E236" s="292" t="str">
        <f ca="1">IF(ISERROR($S236),"",OFFSET('Smelter Reference List'!$D$4,$S236-4,0)&amp;"")</f>
        <v>GERMANY</v>
      </c>
      <c r="F236" s="292" t="str">
        <f ca="1">IF(ISERROR($S236),"",OFFSET('Smelter Reference List'!$E$4,$S236-4,0))</f>
        <v>CID002547</v>
      </c>
      <c r="G236" s="292" t="str">
        <f ca="1">IF(C236=$U$4,"Enter smelter details", IF(ISERROR($S236),"",OFFSET('Smelter Reference List'!$F$4,$S236-4,0)))</f>
        <v>CFSI</v>
      </c>
      <c r="H236" s="293">
        <f ca="1">IF(ISERROR($S236),"",OFFSET('Smelter Reference List'!$G$4,$S236-4,0))</f>
        <v>0</v>
      </c>
      <c r="I236" s="294" t="str">
        <f ca="1">IF(ISERROR($S236),"",OFFSET('Smelter Reference List'!$H$4,$S236-4,0))</f>
        <v>Hermsdorf</v>
      </c>
      <c r="J236" s="294" t="str">
        <f ca="1">IF(ISERROR($S236),"",OFFSET('Smelter Reference List'!$I$4,$S236-4,0))</f>
        <v>Thuringia</v>
      </c>
      <c r="K236" s="295"/>
      <c r="L236" s="295"/>
      <c r="M236" s="295"/>
      <c r="N236" s="295"/>
      <c r="O236" s="295"/>
      <c r="P236" s="295"/>
      <c r="Q236" s="296"/>
      <c r="R236" s="227"/>
      <c r="S236" s="228">
        <f ca="1">IF(C236="",NA(),MATCH($B236&amp;$C236,'Smelter Reference List'!$J:$J,0))</f>
        <v>262</v>
      </c>
      <c r="T236" s="229"/>
      <c r="U236" s="229">
        <f t="shared" ca="1" si="8"/>
        <v>0</v>
      </c>
      <c r="V236" s="229"/>
      <c r="W236" s="229"/>
      <c r="Y236" s="223" t="str">
        <f t="shared" ca="1" si="9"/>
        <v>TantalumH.C. Starck Hermsdorf GmbH</v>
      </c>
    </row>
    <row r="237" spans="1:25" s="223" customFormat="1" ht="20.25">
      <c r="A237" s="291" t="s">
        <v>2694</v>
      </c>
      <c r="B237" s="292" t="str">
        <f ca="1">IF(LEN(A237)=0,"",INDEX('Smelter Reference List'!$A:$A,MATCH($A237,'Smelter Reference List'!$E:$E,0)))</f>
        <v>Tantalum</v>
      </c>
      <c r="C237" s="298" t="str">
        <f ca="1">IF(LEN(A237)=0,"",INDEX('Smelter Reference List'!$C:$C,MATCH($A237,'Smelter Reference List'!$E:$E,0)))</f>
        <v>H.C. Starck Inc.</v>
      </c>
      <c r="D237" s="292" t="str">
        <f ca="1">IF(ISERROR($S237),"",OFFSET('Smelter Reference List'!$C$4,$S237-4,0)&amp;"")</f>
        <v>H.C. Starck Inc.</v>
      </c>
      <c r="E237" s="292" t="str">
        <f ca="1">IF(ISERROR($S237),"",OFFSET('Smelter Reference List'!$D$4,$S237-4,0)&amp;"")</f>
        <v>UNITED STATES OF AMERICA</v>
      </c>
      <c r="F237" s="292" t="str">
        <f ca="1">IF(ISERROR($S237),"",OFFSET('Smelter Reference List'!$E$4,$S237-4,0))</f>
        <v>CID002548</v>
      </c>
      <c r="G237" s="292" t="str">
        <f ca="1">IF(C237=$U$4,"Enter smelter details", IF(ISERROR($S237),"",OFFSET('Smelter Reference List'!$F$4,$S237-4,0)))</f>
        <v>CFSI</v>
      </c>
      <c r="H237" s="293">
        <f ca="1">IF(ISERROR($S237),"",OFFSET('Smelter Reference List'!$G$4,$S237-4,0))</f>
        <v>0</v>
      </c>
      <c r="I237" s="294" t="str">
        <f ca="1">IF(ISERROR($S237),"",OFFSET('Smelter Reference List'!$H$4,$S237-4,0))</f>
        <v>Newton</v>
      </c>
      <c r="J237" s="294" t="str">
        <f ca="1">IF(ISERROR($S237),"",OFFSET('Smelter Reference List'!$I$4,$S237-4,0))</f>
        <v>Massachusetts</v>
      </c>
      <c r="K237" s="295"/>
      <c r="L237" s="295"/>
      <c r="M237" s="295"/>
      <c r="N237" s="295"/>
      <c r="O237" s="295"/>
      <c r="P237" s="295"/>
      <c r="Q237" s="296"/>
      <c r="R237" s="227"/>
      <c r="S237" s="228">
        <f ca="1">IF(C237="",NA(),MATCH($B237&amp;$C237,'Smelter Reference List'!$J:$J,0))</f>
        <v>263</v>
      </c>
      <c r="T237" s="229"/>
      <c r="U237" s="229">
        <f t="shared" ca="1" si="8"/>
        <v>0</v>
      </c>
      <c r="V237" s="229"/>
      <c r="W237" s="229"/>
      <c r="Y237" s="223" t="str">
        <f t="shared" ca="1" si="9"/>
        <v>TantalumH.C. Starck Inc.</v>
      </c>
    </row>
    <row r="238" spans="1:25" s="223" customFormat="1" ht="20.25">
      <c r="A238" s="291" t="s">
        <v>2696</v>
      </c>
      <c r="B238" s="292" t="str">
        <f ca="1">IF(LEN(A238)=0,"",INDEX('Smelter Reference List'!$A:$A,MATCH($A238,'Smelter Reference List'!$E:$E,0)))</f>
        <v>Tantalum</v>
      </c>
      <c r="C238" s="298" t="str">
        <f ca="1">IF(LEN(A238)=0,"",INDEX('Smelter Reference List'!$C:$C,MATCH($A238,'Smelter Reference List'!$E:$E,0)))</f>
        <v>H.C. Starck Ltd.</v>
      </c>
      <c r="D238" s="292" t="str">
        <f ca="1">IF(ISERROR($S238),"",OFFSET('Smelter Reference List'!$C$4,$S238-4,0)&amp;"")</f>
        <v>H.C. Starck Ltd.</v>
      </c>
      <c r="E238" s="292" t="str">
        <f ca="1">IF(ISERROR($S238),"",OFFSET('Smelter Reference List'!$D$4,$S238-4,0)&amp;"")</f>
        <v>JAPAN</v>
      </c>
      <c r="F238" s="292" t="str">
        <f ca="1">IF(ISERROR($S238),"",OFFSET('Smelter Reference List'!$E$4,$S238-4,0))</f>
        <v>CID002549</v>
      </c>
      <c r="G238" s="292" t="str">
        <f ca="1">IF(C238=$U$4,"Enter smelter details", IF(ISERROR($S238),"",OFFSET('Smelter Reference List'!$F$4,$S238-4,0)))</f>
        <v>CFSI</v>
      </c>
      <c r="H238" s="293">
        <f ca="1">IF(ISERROR($S238),"",OFFSET('Smelter Reference List'!$G$4,$S238-4,0))</f>
        <v>0</v>
      </c>
      <c r="I238" s="294" t="str">
        <f ca="1">IF(ISERROR($S238),"",OFFSET('Smelter Reference List'!$H$4,$S238-4,0))</f>
        <v>Mito</v>
      </c>
      <c r="J238" s="294" t="str">
        <f ca="1">IF(ISERROR($S238),"",OFFSET('Smelter Reference List'!$I$4,$S238-4,0))</f>
        <v>Ibaraki</v>
      </c>
      <c r="K238" s="295"/>
      <c r="L238" s="295"/>
      <c r="M238" s="295"/>
      <c r="N238" s="295"/>
      <c r="O238" s="295"/>
      <c r="P238" s="295"/>
      <c r="Q238" s="296"/>
      <c r="R238" s="227"/>
      <c r="S238" s="228">
        <f ca="1">IF(C238="",NA(),MATCH($B238&amp;$C238,'Smelter Reference List'!$J:$J,0))</f>
        <v>264</v>
      </c>
      <c r="T238" s="229"/>
      <c r="U238" s="229">
        <f t="shared" ca="1" si="8"/>
        <v>0</v>
      </c>
      <c r="V238" s="229"/>
      <c r="W238" s="229"/>
      <c r="Y238" s="223" t="str">
        <f t="shared" ca="1" si="9"/>
        <v>TantalumH.C. Starck Ltd.</v>
      </c>
    </row>
    <row r="239" spans="1:25" s="223" customFormat="1" ht="20.25">
      <c r="A239" s="291" t="s">
        <v>2698</v>
      </c>
      <c r="B239" s="292" t="str">
        <f ca="1">IF(LEN(A239)=0,"",INDEX('Smelter Reference List'!$A:$A,MATCH($A239,'Smelter Reference List'!$E:$E,0)))</f>
        <v>Tantalum</v>
      </c>
      <c r="C239" s="298" t="str">
        <f ca="1">IF(LEN(A239)=0,"",INDEX('Smelter Reference List'!$C:$C,MATCH($A239,'Smelter Reference List'!$E:$E,0)))</f>
        <v>H.C. Starck Smelting GmbH &amp; Co. KG</v>
      </c>
      <c r="D239" s="292" t="str">
        <f ca="1">IF(ISERROR($S239),"",OFFSET('Smelter Reference List'!$C$4,$S239-4,0)&amp;"")</f>
        <v>H.C. Starck Smelting GmbH &amp; Co. KG</v>
      </c>
      <c r="E239" s="292" t="str">
        <f ca="1">IF(ISERROR($S239),"",OFFSET('Smelter Reference List'!$D$4,$S239-4,0)&amp;"")</f>
        <v>GERMANY</v>
      </c>
      <c r="F239" s="292" t="str">
        <f ca="1">IF(ISERROR($S239),"",OFFSET('Smelter Reference List'!$E$4,$S239-4,0))</f>
        <v>CID002550</v>
      </c>
      <c r="G239" s="292" t="str">
        <f ca="1">IF(C239=$U$4,"Enter smelter details", IF(ISERROR($S239),"",OFFSET('Smelter Reference List'!$F$4,$S239-4,0)))</f>
        <v>CFSI</v>
      </c>
      <c r="H239" s="293">
        <f ca="1">IF(ISERROR($S239),"",OFFSET('Smelter Reference List'!$G$4,$S239-4,0))</f>
        <v>0</v>
      </c>
      <c r="I239" s="294" t="str">
        <f ca="1">IF(ISERROR($S239),"",OFFSET('Smelter Reference List'!$H$4,$S239-4,0))</f>
        <v>Laufenburg</v>
      </c>
      <c r="J239" s="294" t="str">
        <f ca="1">IF(ISERROR($S239),"",OFFSET('Smelter Reference List'!$I$4,$S239-4,0))</f>
        <v>Baden-Württemberg</v>
      </c>
      <c r="K239" s="295"/>
      <c r="L239" s="295"/>
      <c r="M239" s="295"/>
      <c r="N239" s="295"/>
      <c r="O239" s="295"/>
      <c r="P239" s="295"/>
      <c r="Q239" s="296"/>
      <c r="R239" s="227"/>
      <c r="S239" s="228">
        <f ca="1">IF(C239="",NA(),MATCH($B239&amp;$C239,'Smelter Reference List'!$J:$J,0))</f>
        <v>265</v>
      </c>
      <c r="T239" s="229"/>
      <c r="U239" s="229">
        <f t="shared" ca="1" si="8"/>
        <v>0</v>
      </c>
      <c r="V239" s="229"/>
      <c r="W239" s="229"/>
      <c r="Y239" s="223" t="str">
        <f t="shared" ca="1" si="9"/>
        <v>TantalumH.C. Starck Smelting GmbH &amp; Co. KG</v>
      </c>
    </row>
    <row r="240" spans="1:25" s="223" customFormat="1" ht="20.25">
      <c r="A240" s="291" t="s">
        <v>2710</v>
      </c>
      <c r="B240" s="292" t="str">
        <f ca="1">IF(LEN(A240)=0,"",INDEX('Smelter Reference List'!$A:$A,MATCH($A240,'Smelter Reference List'!$E:$E,0)))</f>
        <v>Tungsten</v>
      </c>
      <c r="C240" s="298" t="str">
        <f ca="1">IF(LEN(A240)=0,"",INDEX('Smelter Reference List'!$C:$C,MATCH($A240,'Smelter Reference List'!$E:$E,0)))</f>
        <v>Jiangwu H.C. Starck Tungsten Products Co., Ltd.</v>
      </c>
      <c r="D240" s="292" t="str">
        <f ca="1">IF(ISERROR($S240),"",OFFSET('Smelter Reference List'!$C$4,$S240-4,0)&amp;"")</f>
        <v>Jiangwu H.C. Starck Tungsten Products Co., Ltd.</v>
      </c>
      <c r="E240" s="292" t="str">
        <f ca="1">IF(ISERROR($S240),"",OFFSET('Smelter Reference List'!$D$4,$S240-4,0)&amp;"")</f>
        <v>CHINA</v>
      </c>
      <c r="F240" s="292" t="str">
        <f ca="1">IF(ISERROR($S240),"",OFFSET('Smelter Reference List'!$E$4,$S240-4,0))</f>
        <v>CID002551</v>
      </c>
      <c r="G240" s="292" t="str">
        <f ca="1">IF(C240=$U$4,"Enter smelter details", IF(ISERROR($S240),"",OFFSET('Smelter Reference List'!$F$4,$S240-4,0)))</f>
        <v>CFSI</v>
      </c>
      <c r="H240" s="293">
        <f ca="1">IF(ISERROR($S240),"",OFFSET('Smelter Reference List'!$G$4,$S240-4,0))</f>
        <v>0</v>
      </c>
      <c r="I240" s="294" t="str">
        <f ca="1">IF(ISERROR($S240),"",OFFSET('Smelter Reference List'!$H$4,$S240-4,0))</f>
        <v>Ganzhou</v>
      </c>
      <c r="J240" s="294" t="str">
        <f ca="1">IF(ISERROR($S240),"",OFFSET('Smelter Reference List'!$I$4,$S240-4,0))</f>
        <v>Jiangxi</v>
      </c>
      <c r="K240" s="295"/>
      <c r="L240" s="295"/>
      <c r="M240" s="295"/>
      <c r="N240" s="295"/>
      <c r="O240" s="295"/>
      <c r="P240" s="295"/>
      <c r="Q240" s="296"/>
      <c r="R240" s="227"/>
      <c r="S240" s="228">
        <f ca="1">IF(C240="",NA(),MATCH($B240&amp;$C240,'Smelter Reference List'!$J:$J,0))</f>
        <v>497</v>
      </c>
      <c r="T240" s="229"/>
      <c r="U240" s="229">
        <f t="shared" ca="1" si="8"/>
        <v>0</v>
      </c>
      <c r="V240" s="229"/>
      <c r="W240" s="229"/>
      <c r="Y240" s="223" t="str">
        <f t="shared" ca="1" si="9"/>
        <v>TungstenJiangwu H.C. Starck Tungsten Products Co., Ltd.</v>
      </c>
    </row>
    <row r="241" spans="1:25" s="223" customFormat="1" ht="20.25">
      <c r="A241" s="291" t="s">
        <v>2704</v>
      </c>
      <c r="B241" s="292" t="str">
        <f ca="1">IF(LEN(A241)=0,"",INDEX('Smelter Reference List'!$A:$A,MATCH($A241,'Smelter Reference List'!$E:$E,0)))</f>
        <v>Tantalum</v>
      </c>
      <c r="C241" s="298" t="str">
        <f ca="1">IF(LEN(A241)=0,"",INDEX('Smelter Reference List'!$C:$C,MATCH($A241,'Smelter Reference List'!$E:$E,0)))</f>
        <v>Plansee SE Reutte</v>
      </c>
      <c r="D241" s="292" t="str">
        <f ca="1">IF(ISERROR($S241),"",OFFSET('Smelter Reference List'!$C$4,$S241-4,0)&amp;"")</f>
        <v>Plansee SE Reutte</v>
      </c>
      <c r="E241" s="292" t="str">
        <f ca="1">IF(ISERROR($S241),"",OFFSET('Smelter Reference List'!$D$4,$S241-4,0)&amp;"")</f>
        <v>AUSTRIA</v>
      </c>
      <c r="F241" s="292" t="str">
        <f ca="1">IF(ISERROR($S241),"",OFFSET('Smelter Reference List'!$E$4,$S241-4,0))</f>
        <v>CID002556</v>
      </c>
      <c r="G241" s="292" t="str">
        <f ca="1">IF(C241=$U$4,"Enter smelter details", IF(ISERROR($S241),"",OFFSET('Smelter Reference List'!$F$4,$S241-4,0)))</f>
        <v>CFSI</v>
      </c>
      <c r="H241" s="293">
        <f ca="1">IF(ISERROR($S241),"",OFFSET('Smelter Reference List'!$G$4,$S241-4,0))</f>
        <v>0</v>
      </c>
      <c r="I241" s="294" t="str">
        <f ca="1">IF(ISERROR($S241),"",OFFSET('Smelter Reference List'!$H$4,$S241-4,0))</f>
        <v>Reutte</v>
      </c>
      <c r="J241" s="294" t="str">
        <f ca="1">IF(ISERROR($S241),"",OFFSET('Smelter Reference List'!$I$4,$S241-4,0))</f>
        <v>Tyrol</v>
      </c>
      <c r="K241" s="295"/>
      <c r="L241" s="295"/>
      <c r="M241" s="295"/>
      <c r="N241" s="295"/>
      <c r="O241" s="295"/>
      <c r="P241" s="295"/>
      <c r="Q241" s="296"/>
      <c r="R241" s="227"/>
      <c r="S241" s="228">
        <f ca="1">IF(C241="",NA(),MATCH($B241&amp;$C241,'Smelter Reference List'!$J:$J,0))</f>
        <v>286</v>
      </c>
      <c r="T241" s="229"/>
      <c r="U241" s="229">
        <f t="shared" ca="1" si="8"/>
        <v>0</v>
      </c>
      <c r="V241" s="229"/>
      <c r="W241" s="229"/>
      <c r="Y241" s="223" t="str">
        <f t="shared" ca="1" si="9"/>
        <v>TantalumPlansee SE Reutte</v>
      </c>
    </row>
    <row r="242" spans="1:25" s="223" customFormat="1" ht="20.25">
      <c r="A242" s="291" t="s">
        <v>2684</v>
      </c>
      <c r="B242" s="292" t="str">
        <f ca="1">IF(LEN(A242)=0,"",INDEX('Smelter Reference List'!$A:$A,MATCH($A242,'Smelter Reference List'!$E:$E,0)))</f>
        <v>Tantalum</v>
      </c>
      <c r="C242" s="298" t="str">
        <f ca="1">IF(LEN(A242)=0,"",INDEX('Smelter Reference List'!$C:$C,MATCH($A242,'Smelter Reference List'!$E:$E,0)))</f>
        <v>Global Advanced Metals Boyertown</v>
      </c>
      <c r="D242" s="292" t="str">
        <f ca="1">IF(ISERROR($S242),"",OFFSET('Smelter Reference List'!$C$4,$S242-4,0)&amp;"")</f>
        <v>Global Advanced Metals Boyertown</v>
      </c>
      <c r="E242" s="292" t="str">
        <f ca="1">IF(ISERROR($S242),"",OFFSET('Smelter Reference List'!$D$4,$S242-4,0)&amp;"")</f>
        <v>UNITED STATES OF AMERICA</v>
      </c>
      <c r="F242" s="292" t="str">
        <f ca="1">IF(ISERROR($S242),"",OFFSET('Smelter Reference List'!$E$4,$S242-4,0))</f>
        <v>CID002557</v>
      </c>
      <c r="G242" s="292" t="str">
        <f ca="1">IF(C242=$U$4,"Enter smelter details", IF(ISERROR($S242),"",OFFSET('Smelter Reference List'!$F$4,$S242-4,0)))</f>
        <v>CFSI</v>
      </c>
      <c r="H242" s="293">
        <f ca="1">IF(ISERROR($S242),"",OFFSET('Smelter Reference List'!$G$4,$S242-4,0))</f>
        <v>0</v>
      </c>
      <c r="I242" s="294" t="str">
        <f ca="1">IF(ISERROR($S242),"",OFFSET('Smelter Reference List'!$H$4,$S242-4,0))</f>
        <v>Boyertown</v>
      </c>
      <c r="J242" s="294" t="str">
        <f ca="1">IF(ISERROR($S242),"",OFFSET('Smelter Reference List'!$I$4,$S242-4,0))</f>
        <v>Pennsylvania</v>
      </c>
      <c r="K242" s="295"/>
      <c r="L242" s="295"/>
      <c r="M242" s="295"/>
      <c r="N242" s="295"/>
      <c r="O242" s="295"/>
      <c r="P242" s="295"/>
      <c r="Q242" s="296"/>
      <c r="R242" s="227"/>
      <c r="S242" s="228">
        <f ca="1">IF(C242="",NA(),MATCH($B242&amp;$C242,'Smelter Reference List'!$J:$J,0))</f>
        <v>257</v>
      </c>
      <c r="T242" s="229"/>
      <c r="U242" s="229">
        <f t="shared" ca="1" si="8"/>
        <v>0</v>
      </c>
      <c r="V242" s="229"/>
      <c r="W242" s="229"/>
      <c r="Y242" s="223" t="str">
        <f t="shared" ca="1" si="9"/>
        <v>TantalumGlobal Advanced Metals Boyertown</v>
      </c>
    </row>
    <row r="243" spans="1:25" s="223" customFormat="1" ht="20.25">
      <c r="A243" s="291" t="s">
        <v>2682</v>
      </c>
      <c r="B243" s="292" t="str">
        <f ca="1">IF(LEN(A243)=0,"",INDEX('Smelter Reference List'!$A:$A,MATCH($A243,'Smelter Reference List'!$E:$E,0)))</f>
        <v>Tantalum</v>
      </c>
      <c r="C243" s="298" t="str">
        <f ca="1">IF(LEN(A243)=0,"",INDEX('Smelter Reference List'!$C:$C,MATCH($A243,'Smelter Reference List'!$E:$E,0)))</f>
        <v>Global Advanced Metals Aizu</v>
      </c>
      <c r="D243" s="292" t="str">
        <f ca="1">IF(ISERROR($S243),"",OFFSET('Smelter Reference List'!$C$4,$S243-4,0)&amp;"")</f>
        <v>Global Advanced Metals Aizu</v>
      </c>
      <c r="E243" s="292" t="str">
        <f ca="1">IF(ISERROR($S243),"",OFFSET('Smelter Reference List'!$D$4,$S243-4,0)&amp;"")</f>
        <v>JAPAN</v>
      </c>
      <c r="F243" s="292" t="str">
        <f ca="1">IF(ISERROR($S243),"",OFFSET('Smelter Reference List'!$E$4,$S243-4,0))</f>
        <v>CID002558</v>
      </c>
      <c r="G243" s="292" t="str">
        <f ca="1">IF(C243=$U$4,"Enter smelter details", IF(ISERROR($S243),"",OFFSET('Smelter Reference List'!$F$4,$S243-4,0)))</f>
        <v>CFSI</v>
      </c>
      <c r="H243" s="293">
        <f ca="1">IF(ISERROR($S243),"",OFFSET('Smelter Reference List'!$G$4,$S243-4,0))</f>
        <v>0</v>
      </c>
      <c r="I243" s="294" t="str">
        <f ca="1">IF(ISERROR($S243),"",OFFSET('Smelter Reference List'!$H$4,$S243-4,0))</f>
        <v>Aizuwakamatsu</v>
      </c>
      <c r="J243" s="294" t="str">
        <f ca="1">IF(ISERROR($S243),"",OFFSET('Smelter Reference List'!$I$4,$S243-4,0))</f>
        <v>Fukushima</v>
      </c>
      <c r="K243" s="295"/>
      <c r="L243" s="295"/>
      <c r="M243" s="295"/>
      <c r="N243" s="295"/>
      <c r="O243" s="295"/>
      <c r="P243" s="295"/>
      <c r="Q243" s="296"/>
      <c r="R243" s="227"/>
      <c r="S243" s="228">
        <f ca="1">IF(C243="",NA(),MATCH($B243&amp;$C243,'Smelter Reference List'!$J:$J,0))</f>
        <v>256</v>
      </c>
      <c r="T243" s="229"/>
      <c r="U243" s="229">
        <f t="shared" ca="1" si="8"/>
        <v>0</v>
      </c>
      <c r="V243" s="229"/>
      <c r="W243" s="229"/>
      <c r="Y243" s="223" t="str">
        <f t="shared" ca="1" si="9"/>
        <v>TantalumGlobal Advanced Metals Aizu</v>
      </c>
    </row>
    <row r="244" spans="1:25" s="223" customFormat="1" ht="20.25">
      <c r="A244" s="291" t="s">
        <v>3290</v>
      </c>
      <c r="B244" s="292" t="str">
        <f ca="1">IF(LEN(A244)=0,"",INDEX('Smelter Reference List'!$A:$A,MATCH($A244,'Smelter Reference List'!$E:$E,0)))</f>
        <v>Gold</v>
      </c>
      <c r="C244" s="298" t="str">
        <f ca="1">IF(LEN(A244)=0,"",INDEX('Smelter Reference List'!$C:$C,MATCH($A244,'Smelter Reference List'!$E:$E,0)))</f>
        <v>Emirates Gold DMCC</v>
      </c>
      <c r="D244" s="292" t="str">
        <f ca="1">IF(ISERROR($S244),"",OFFSET('Smelter Reference List'!$C$4,$S244-4,0)&amp;"")</f>
        <v>Emirates Gold DMCC</v>
      </c>
      <c r="E244" s="292" t="str">
        <f ca="1">IF(ISERROR($S244),"",OFFSET('Smelter Reference List'!$D$4,$S244-4,0)&amp;"")</f>
        <v>UNITED ARAB EMIRATES</v>
      </c>
      <c r="F244" s="292" t="str">
        <f ca="1">IF(ISERROR($S244),"",OFFSET('Smelter Reference List'!$E$4,$S244-4,0))</f>
        <v>CID002561</v>
      </c>
      <c r="G244" s="292" t="str">
        <f ca="1">IF(C244=$U$4,"Enter smelter details", IF(ISERROR($S244),"",OFFSET('Smelter Reference List'!$F$4,$S244-4,0)))</f>
        <v>CFSI</v>
      </c>
      <c r="H244" s="293">
        <f ca="1">IF(ISERROR($S244),"",OFFSET('Smelter Reference List'!$G$4,$S244-4,0))</f>
        <v>0</v>
      </c>
      <c r="I244" s="294" t="str">
        <f ca="1">IF(ISERROR($S244),"",OFFSET('Smelter Reference List'!$H$4,$S244-4,0))</f>
        <v>Dubai</v>
      </c>
      <c r="J244" s="294" t="str">
        <f ca="1">IF(ISERROR($S244),"",OFFSET('Smelter Reference List'!$I$4,$S244-4,0))</f>
        <v>Dubai</v>
      </c>
      <c r="K244" s="295"/>
      <c r="L244" s="295"/>
      <c r="M244" s="295"/>
      <c r="N244" s="295"/>
      <c r="O244" s="295"/>
      <c r="P244" s="295"/>
      <c r="Q244" s="296"/>
      <c r="R244" s="227"/>
      <c r="S244" s="228">
        <f ca="1">IF(C244="",NA(),MATCH($B244&amp;$C244,'Smelter Reference List'!$J:$J,0))</f>
        <v>58</v>
      </c>
      <c r="T244" s="229"/>
      <c r="U244" s="229">
        <f t="shared" ca="1" si="8"/>
        <v>0</v>
      </c>
      <c r="V244" s="229"/>
      <c r="W244" s="229"/>
      <c r="Y244" s="223" t="str">
        <f t="shared" ca="1" si="9"/>
        <v>GoldEmirates Gold DMCC</v>
      </c>
    </row>
    <row r="245" spans="1:25" s="223" customFormat="1" ht="20.25">
      <c r="A245" s="291" t="s">
        <v>2716</v>
      </c>
      <c r="B245" s="292" t="str">
        <f ca="1">IF(LEN(A245)=0,"",INDEX('Smelter Reference List'!$A:$A,MATCH($A245,'Smelter Reference List'!$E:$E,0)))</f>
        <v>Tantalum</v>
      </c>
      <c r="C245" s="298" t="str">
        <f ca="1">IF(LEN(A245)=0,"",INDEX('Smelter Reference List'!$C:$C,MATCH($A245,'Smelter Reference List'!$E:$E,0)))</f>
        <v>KEMET Blue Powder</v>
      </c>
      <c r="D245" s="292" t="str">
        <f ca="1">IF(ISERROR($S245),"",OFFSET('Smelter Reference List'!$C$4,$S245-4,0)&amp;"")</f>
        <v>KEMET Blue Powder</v>
      </c>
      <c r="E245" s="292" t="str">
        <f ca="1">IF(ISERROR($S245),"",OFFSET('Smelter Reference List'!$D$4,$S245-4,0)&amp;"")</f>
        <v>UNITED STATES OF AMERICA</v>
      </c>
      <c r="F245" s="292" t="str">
        <f ca="1">IF(ISERROR($S245),"",OFFSET('Smelter Reference List'!$E$4,$S245-4,0))</f>
        <v>CID002568</v>
      </c>
      <c r="G245" s="292" t="str">
        <f ca="1">IF(C245=$U$4,"Enter smelter details", IF(ISERROR($S245),"",OFFSET('Smelter Reference List'!$F$4,$S245-4,0)))</f>
        <v>CFSI</v>
      </c>
      <c r="H245" s="293">
        <f ca="1">IF(ISERROR($S245),"",OFFSET('Smelter Reference List'!$G$4,$S245-4,0))</f>
        <v>0</v>
      </c>
      <c r="I245" s="294" t="str">
        <f ca="1">IF(ISERROR($S245),"",OFFSET('Smelter Reference List'!$H$4,$S245-4,0))</f>
        <v>Mound House</v>
      </c>
      <c r="J245" s="294" t="str">
        <f ca="1">IF(ISERROR($S245),"",OFFSET('Smelter Reference List'!$I$4,$S245-4,0))</f>
        <v>Nevada</v>
      </c>
      <c r="K245" s="295"/>
      <c r="L245" s="295"/>
      <c r="M245" s="295"/>
      <c r="N245" s="295"/>
      <c r="O245" s="295"/>
      <c r="P245" s="295"/>
      <c r="Q245" s="296"/>
      <c r="R245" s="227"/>
      <c r="S245" s="228">
        <f ca="1">IF(C245="",NA(),MATCH($B245&amp;$C245,'Smelter Reference List'!$J:$J,0))</f>
        <v>275</v>
      </c>
      <c r="T245" s="229"/>
      <c r="U245" s="229">
        <f t="shared" ca="1" si="8"/>
        <v>0</v>
      </c>
      <c r="V245" s="229"/>
      <c r="W245" s="229"/>
      <c r="Y245" s="223" t="str">
        <f t="shared" ca="1" si="9"/>
        <v>TantalumKEMET Blue Powder</v>
      </c>
    </row>
    <row r="246" spans="1:25" s="223" customFormat="1" ht="20.25">
      <c r="A246" s="291" t="s">
        <v>3452</v>
      </c>
      <c r="B246" s="292" t="str">
        <f ca="1">IF(LEN(A246)=0,"",INDEX('Smelter Reference List'!$A:$A,MATCH($A246,'Smelter Reference List'!$E:$E,0)))</f>
        <v>Tin</v>
      </c>
      <c r="C246" s="298" t="str">
        <f ca="1">IF(LEN(A246)=0,"",INDEX('Smelter Reference List'!$C:$C,MATCH($A246,'Smelter Reference List'!$E:$E,0)))</f>
        <v>CV Ayi Jaya</v>
      </c>
      <c r="D246" s="292" t="str">
        <f ca="1">IF(ISERROR($S246),"",OFFSET('Smelter Reference List'!$C$4,$S246-4,0)&amp;"")</f>
        <v>CV Ayi Jaya</v>
      </c>
      <c r="E246" s="292" t="str">
        <f ca="1">IF(ISERROR($S246),"",OFFSET('Smelter Reference List'!$D$4,$S246-4,0)&amp;"")</f>
        <v>INDONESIA</v>
      </c>
      <c r="F246" s="292" t="str">
        <f ca="1">IF(ISERROR($S246),"",OFFSET('Smelter Reference List'!$E$4,$S246-4,0))</f>
        <v>CID002570</v>
      </c>
      <c r="G246" s="292" t="str">
        <f ca="1">IF(C246=$U$4,"Enter smelter details", IF(ISERROR($S246),"",OFFSET('Smelter Reference List'!$F$4,$S246-4,0)))</f>
        <v>CFSI</v>
      </c>
      <c r="H246" s="293">
        <f ca="1">IF(ISERROR($S246),"",OFFSET('Smelter Reference List'!$G$4,$S246-4,0))</f>
        <v>0</v>
      </c>
      <c r="I246" s="294" t="str">
        <f ca="1">IF(ISERROR($S246),"",OFFSET('Smelter Reference List'!$H$4,$S246-4,0))</f>
        <v>Sungailiat</v>
      </c>
      <c r="J246" s="294" t="str">
        <f ca="1">IF(ISERROR($S246),"",OFFSET('Smelter Reference List'!$I$4,$S246-4,0))</f>
        <v>Bangka</v>
      </c>
      <c r="K246" s="295"/>
      <c r="L246" s="295"/>
      <c r="M246" s="295"/>
      <c r="N246" s="295"/>
      <c r="O246" s="295"/>
      <c r="P246" s="295"/>
      <c r="Q246" s="296"/>
      <c r="R246" s="227"/>
      <c r="S246" s="228">
        <f ca="1">IF(C246="",NA(),MATCH($B246&amp;$C246,'Smelter Reference List'!$J:$J,0))</f>
        <v>334</v>
      </c>
      <c r="T246" s="229"/>
      <c r="U246" s="229">
        <f t="shared" ca="1" si="8"/>
        <v>0</v>
      </c>
      <c r="V246" s="229"/>
      <c r="W246" s="229"/>
      <c r="Y246" s="223" t="str">
        <f t="shared" ca="1" si="9"/>
        <v>TinCV Ayi Jaya</v>
      </c>
    </row>
    <row r="247" spans="1:25" s="223" customFormat="1" ht="20.25">
      <c r="A247" s="291" t="s">
        <v>3364</v>
      </c>
      <c r="B247" s="292" t="str">
        <f ca="1">IF(LEN(A247)=0,"",INDEX('Smelter Reference List'!$A:$A,MATCH($A247,'Smelter Reference List'!$E:$E,0)))</f>
        <v>Tantalum</v>
      </c>
      <c r="C247" s="298" t="str">
        <f ca="1">IF(LEN(A247)=0,"",INDEX('Smelter Reference List'!$C:$C,MATCH($A247,'Smelter Reference List'!$E:$E,0)))</f>
        <v>Tranzact, Inc.</v>
      </c>
      <c r="D247" s="292" t="str">
        <f ca="1">IF(ISERROR($S247),"",OFFSET('Smelter Reference List'!$C$4,$S247-4,0)&amp;"")</f>
        <v>Tranzact, Inc.</v>
      </c>
      <c r="E247" s="292" t="str">
        <f ca="1">IF(ISERROR($S247),"",OFFSET('Smelter Reference List'!$D$4,$S247-4,0)&amp;"")</f>
        <v>UNITED STATES OF AMERICA</v>
      </c>
      <c r="F247" s="292" t="str">
        <f ca="1">IF(ISERROR($S247),"",OFFSET('Smelter Reference List'!$E$4,$S247-4,0))</f>
        <v>CID002571</v>
      </c>
      <c r="G247" s="292" t="str">
        <f ca="1">IF(C247=$U$4,"Enter smelter details", IF(ISERROR($S247),"",OFFSET('Smelter Reference List'!$F$4,$S247-4,0)))</f>
        <v>CFSI</v>
      </c>
      <c r="H247" s="293">
        <f ca="1">IF(ISERROR($S247),"",OFFSET('Smelter Reference List'!$G$4,$S247-4,0))</f>
        <v>0</v>
      </c>
      <c r="I247" s="294" t="str">
        <f ca="1">IF(ISERROR($S247),"",OFFSET('Smelter Reference List'!$H$4,$S247-4,0))</f>
        <v>Lancaster</v>
      </c>
      <c r="J247" s="294" t="str">
        <f ca="1">IF(ISERROR($S247),"",OFFSET('Smelter Reference List'!$I$4,$S247-4,0))</f>
        <v>Pennsylvania</v>
      </c>
      <c r="K247" s="295"/>
      <c r="L247" s="295"/>
      <c r="M247" s="295"/>
      <c r="N247" s="295"/>
      <c r="O247" s="295"/>
      <c r="P247" s="295"/>
      <c r="Q247" s="296"/>
      <c r="R247" s="227"/>
      <c r="S247" s="228">
        <f ca="1">IF(C247="",NA(),MATCH($B247&amp;$C247,'Smelter Reference List'!$J:$J,0))</f>
        <v>299</v>
      </c>
      <c r="T247" s="229"/>
      <c r="U247" s="229">
        <f t="shared" ca="1" si="8"/>
        <v>0</v>
      </c>
      <c r="V247" s="229"/>
      <c r="W247" s="229"/>
      <c r="Y247" s="223" t="str">
        <f t="shared" ca="1" si="9"/>
        <v>TantalumTranzact, Inc.</v>
      </c>
    </row>
    <row r="248" spans="1:25" s="223" customFormat="1" ht="20.25">
      <c r="A248" s="291" t="s">
        <v>3505</v>
      </c>
      <c r="B248" s="292" t="str">
        <f ca="1">IF(LEN(A248)=0,"",INDEX('Smelter Reference List'!$A:$A,MATCH($A248,'Smelter Reference List'!$E:$E,0)))</f>
        <v>Tungsten</v>
      </c>
      <c r="C248" s="298" t="str">
        <f ca="1">IF(LEN(A248)=0,"",INDEX('Smelter Reference List'!$C:$C,MATCH($A248,'Smelter Reference List'!$E:$E,0)))</f>
        <v>Hunan Chuangda Vanadium Tungsten Co., Ltd. Wuji</v>
      </c>
      <c r="D248" s="292" t="str">
        <f ca="1">IF(ISERROR($S248),"",OFFSET('Smelter Reference List'!$C$4,$S248-4,0)&amp;"")</f>
        <v>Hunan Chuangda Vanadium Tungsten Co., Ltd. Wuji</v>
      </c>
      <c r="E248" s="292" t="str">
        <f ca="1">IF(ISERROR($S248),"",OFFSET('Smelter Reference List'!$D$4,$S248-4,0)&amp;"")</f>
        <v>CHINA</v>
      </c>
      <c r="F248" s="292" t="str">
        <f ca="1">IF(ISERROR($S248),"",OFFSET('Smelter Reference List'!$E$4,$S248-4,0))</f>
        <v>CID002579</v>
      </c>
      <c r="G248" s="292" t="str">
        <f ca="1">IF(C248=$U$4,"Enter smelter details", IF(ISERROR($S248),"",OFFSET('Smelter Reference List'!$F$4,$S248-4,0)))</f>
        <v>CFSI</v>
      </c>
      <c r="H248" s="293">
        <f ca="1">IF(ISERROR($S248),"",OFFSET('Smelter Reference List'!$G$4,$S248-4,0))</f>
        <v>0</v>
      </c>
      <c r="I248" s="294" t="str">
        <f ca="1">IF(ISERROR($S248),"",OFFSET('Smelter Reference List'!$H$4,$S248-4,0))</f>
        <v>Hengyang</v>
      </c>
      <c r="J248" s="294" t="str">
        <f ca="1">IF(ISERROR($S248),"",OFFSET('Smelter Reference List'!$I$4,$S248-4,0))</f>
        <v>Hunan</v>
      </c>
      <c r="K248" s="295"/>
      <c r="L248" s="295"/>
      <c r="M248" s="295"/>
      <c r="N248" s="295"/>
      <c r="O248" s="295"/>
      <c r="P248" s="295"/>
      <c r="Q248" s="296"/>
      <c r="R248" s="227"/>
      <c r="S248" s="228">
        <f ca="1">IF(C248="",NA(),MATCH($B248&amp;$C248,'Smelter Reference List'!$J:$J,0))</f>
        <v>493</v>
      </c>
      <c r="T248" s="229"/>
      <c r="U248" s="229">
        <f t="shared" ca="1" si="8"/>
        <v>0</v>
      </c>
      <c r="V248" s="229"/>
      <c r="W248" s="229"/>
      <c r="Y248" s="223" t="str">
        <f t="shared" ca="1" si="9"/>
        <v>TungstenHunan Chuangda Vanadium Tungsten Co., Ltd. Wuji</v>
      </c>
    </row>
    <row r="249" spans="1:25" s="223" customFormat="1" ht="20.25">
      <c r="A249" s="291" t="s">
        <v>3297</v>
      </c>
      <c r="B249" s="292" t="str">
        <f ca="1">IF(LEN(A249)=0,"",INDEX('Smelter Reference List'!$A:$A,MATCH($A249,'Smelter Reference List'!$E:$E,0)))</f>
        <v>Gold</v>
      </c>
      <c r="C249" s="298" t="str">
        <f ca="1">IF(LEN(A249)=0,"",INDEX('Smelter Reference List'!$C:$C,MATCH($A249,'Smelter Reference List'!$E:$E,0)))</f>
        <v>T.C.A S.p.A</v>
      </c>
      <c r="D249" s="292" t="str">
        <f ca="1">IF(ISERROR($S249),"",OFFSET('Smelter Reference List'!$C$4,$S249-4,0)&amp;"")</f>
        <v>T.C.A S.p.A</v>
      </c>
      <c r="E249" s="292" t="str">
        <f ca="1">IF(ISERROR($S249),"",OFFSET('Smelter Reference List'!$D$4,$S249-4,0)&amp;"")</f>
        <v>ITALY</v>
      </c>
      <c r="F249" s="292" t="str">
        <f ca="1">IF(ISERROR($S249),"",OFFSET('Smelter Reference List'!$E$4,$S249-4,0))</f>
        <v>CID002580</v>
      </c>
      <c r="G249" s="292" t="str">
        <f ca="1">IF(C249=$U$4,"Enter smelter details", IF(ISERROR($S249),"",OFFSET('Smelter Reference List'!$F$4,$S249-4,0)))</f>
        <v>CFSI</v>
      </c>
      <c r="H249" s="293">
        <f ca="1">IF(ISERROR($S249),"",OFFSET('Smelter Reference List'!$G$4,$S249-4,0))</f>
        <v>0</v>
      </c>
      <c r="I249" s="294" t="str">
        <f ca="1">IF(ISERROR($S249),"",OFFSET('Smelter Reference List'!$H$4,$S249-4,0))</f>
        <v>Capolona</v>
      </c>
      <c r="J249" s="294" t="str">
        <f ca="1">IF(ISERROR($S249),"",OFFSET('Smelter Reference List'!$I$4,$S249-4,0))</f>
        <v>Tuscany</v>
      </c>
      <c r="K249" s="295"/>
      <c r="L249" s="295"/>
      <c r="M249" s="295"/>
      <c r="N249" s="295"/>
      <c r="O249" s="295"/>
      <c r="P249" s="295"/>
      <c r="Q249" s="296"/>
      <c r="R249" s="227"/>
      <c r="S249" s="228">
        <f ca="1">IF(C249="",NA(),MATCH($B249&amp;$C249,'Smelter Reference List'!$J:$J,0))</f>
        <v>196</v>
      </c>
      <c r="T249" s="229"/>
      <c r="U249" s="229">
        <f t="shared" ca="1" si="8"/>
        <v>0</v>
      </c>
      <c r="V249" s="229"/>
      <c r="W249" s="229"/>
      <c r="Y249" s="223" t="str">
        <f t="shared" ca="1" si="9"/>
        <v>GoldT.C.A S.p.A</v>
      </c>
    </row>
    <row r="250" spans="1:25" s="223" customFormat="1" ht="20.25">
      <c r="A250" s="291" t="s">
        <v>3507</v>
      </c>
      <c r="B250" s="292" t="str">
        <f ca="1">IF(LEN(A250)=0,"",INDEX('Smelter Reference List'!$A:$A,MATCH($A250,'Smelter Reference List'!$E:$E,0)))</f>
        <v>Tungsten</v>
      </c>
      <c r="C250" s="298" t="str">
        <f ca="1">IF(LEN(A250)=0,"",INDEX('Smelter Reference List'!$C:$C,MATCH($A250,'Smelter Reference List'!$E:$E,0)))</f>
        <v>Niagara Refining LLC</v>
      </c>
      <c r="D250" s="292" t="str">
        <f ca="1">IF(ISERROR($S250),"",OFFSET('Smelter Reference List'!$C$4,$S250-4,0)&amp;"")</f>
        <v>Niagara Refining LLC</v>
      </c>
      <c r="E250" s="292" t="str">
        <f ca="1">IF(ISERROR($S250),"",OFFSET('Smelter Reference List'!$D$4,$S250-4,0)&amp;"")</f>
        <v>UNITED STATES OF AMERICA</v>
      </c>
      <c r="F250" s="292" t="str">
        <f ca="1">IF(ISERROR($S250),"",OFFSET('Smelter Reference List'!$E$4,$S250-4,0))</f>
        <v>CID002589</v>
      </c>
      <c r="G250" s="292" t="str">
        <f ca="1">IF(C250=$U$4,"Enter smelter details", IF(ISERROR($S250),"",OFFSET('Smelter Reference List'!$F$4,$S250-4,0)))</f>
        <v>CFSI</v>
      </c>
      <c r="H250" s="293">
        <f ca="1">IF(ISERROR($S250),"",OFFSET('Smelter Reference List'!$G$4,$S250-4,0))</f>
        <v>0</v>
      </c>
      <c r="I250" s="294" t="str">
        <f ca="1">IF(ISERROR($S250),"",OFFSET('Smelter Reference List'!$H$4,$S250-4,0))</f>
        <v>Depew</v>
      </c>
      <c r="J250" s="294" t="str">
        <f ca="1">IF(ISERROR($S250),"",OFFSET('Smelter Reference List'!$I$4,$S250-4,0))</f>
        <v>New York</v>
      </c>
      <c r="K250" s="295"/>
      <c r="L250" s="295"/>
      <c r="M250" s="295"/>
      <c r="N250" s="295"/>
      <c r="O250" s="295"/>
      <c r="P250" s="295"/>
      <c r="Q250" s="296"/>
      <c r="R250" s="227"/>
      <c r="S250" s="228">
        <f ca="1">IF(C250="",NA(),MATCH($B250&amp;$C250,'Smelter Reference List'!$J:$J,0))</f>
        <v>511</v>
      </c>
      <c r="T250" s="229"/>
      <c r="U250" s="229">
        <f t="shared" ca="1" si="8"/>
        <v>0</v>
      </c>
      <c r="V250" s="229"/>
      <c r="W250" s="229"/>
      <c r="Y250" s="223" t="str">
        <f t="shared" ca="1" si="9"/>
        <v>TungstenNiagara Refining LLC</v>
      </c>
    </row>
    <row r="251" spans="1:25" s="223" customFormat="1" ht="20.25">
      <c r="A251" s="291" t="s">
        <v>3510</v>
      </c>
      <c r="B251" s="292" t="str">
        <f ca="1">IF(LEN(A251)=0,"",INDEX('Smelter Reference List'!$A:$A,MATCH($A251,'Smelter Reference List'!$E:$E,0)))</f>
        <v>Tungsten</v>
      </c>
      <c r="C251" s="298" t="str">
        <f ca="1">IF(LEN(A251)=0,"",INDEX('Smelter Reference List'!$C:$C,MATCH($A251,'Smelter Reference List'!$E:$E,0)))</f>
        <v>Hydrometallurg, JSC</v>
      </c>
      <c r="D251" s="292" t="str">
        <f ca="1">IF(ISERROR($S251),"",OFFSET('Smelter Reference List'!$C$4,$S251-4,0)&amp;"")</f>
        <v>Hydrometallurg, JSC</v>
      </c>
      <c r="E251" s="292" t="str">
        <f ca="1">IF(ISERROR($S251),"",OFFSET('Smelter Reference List'!$D$4,$S251-4,0)&amp;"")</f>
        <v>RUSSIAN FEDERATION</v>
      </c>
      <c r="F251" s="292" t="str">
        <f ca="1">IF(ISERROR($S251),"",OFFSET('Smelter Reference List'!$E$4,$S251-4,0))</f>
        <v>CID002649</v>
      </c>
      <c r="G251" s="292" t="str">
        <f ca="1">IF(C251=$U$4,"Enter smelter details", IF(ISERROR($S251),"",OFFSET('Smelter Reference List'!$F$4,$S251-4,0)))</f>
        <v>CFSI</v>
      </c>
      <c r="H251" s="293">
        <f ca="1">IF(ISERROR($S251),"",OFFSET('Smelter Reference List'!$G$4,$S251-4,0))</f>
        <v>0</v>
      </c>
      <c r="I251" s="294" t="str">
        <f ca="1">IF(ISERROR($S251),"",OFFSET('Smelter Reference List'!$H$4,$S251-4,0))</f>
        <v>Nalchik</v>
      </c>
      <c r="J251" s="294" t="str">
        <f ca="1">IF(ISERROR($S251),"",OFFSET('Smelter Reference List'!$I$4,$S251-4,0))</f>
        <v>Kabardino-Balkar Republic</v>
      </c>
      <c r="K251" s="295"/>
      <c r="L251" s="295"/>
      <c r="M251" s="295"/>
      <c r="N251" s="295"/>
      <c r="O251" s="295"/>
      <c r="P251" s="295"/>
      <c r="Q251" s="296"/>
      <c r="R251" s="227"/>
      <c r="S251" s="228">
        <f ca="1">IF(C251="",NA(),MATCH($B251&amp;$C251,'Smelter Reference List'!$J:$J,0))</f>
        <v>495</v>
      </c>
      <c r="T251" s="229"/>
      <c r="U251" s="229">
        <f t="shared" ca="1" si="8"/>
        <v>0</v>
      </c>
      <c r="V251" s="229"/>
      <c r="W251" s="229"/>
      <c r="Y251" s="223" t="str">
        <f t="shared" ca="1" si="9"/>
        <v>TungstenHydrometallurg, JSC</v>
      </c>
    </row>
    <row r="252" spans="1:25" s="223" customFormat="1" ht="20.25">
      <c r="A252" s="291" t="s">
        <v>3466</v>
      </c>
      <c r="B252" s="292" t="str">
        <f ca="1">IF(LEN(A252)=0,"",INDEX('Smelter Reference List'!$A:$A,MATCH($A252,'Smelter Reference List'!$E:$E,0)))</f>
        <v>Tin</v>
      </c>
      <c r="C252" s="298" t="str">
        <f ca="1">IF(LEN(A252)=0,"",INDEX('Smelter Reference List'!$C:$C,MATCH($A252,'Smelter Reference List'!$E:$E,0)))</f>
        <v>PT Cipta Persada Mulia</v>
      </c>
      <c r="D252" s="292" t="str">
        <f ca="1">IF(ISERROR($S252),"",OFFSET('Smelter Reference List'!$C$4,$S252-4,0)&amp;"")</f>
        <v>PT Cipta Persada Mulia</v>
      </c>
      <c r="E252" s="292" t="str">
        <f ca="1">IF(ISERROR($S252),"",OFFSET('Smelter Reference List'!$D$4,$S252-4,0)&amp;"")</f>
        <v>INDONESIA</v>
      </c>
      <c r="F252" s="292" t="str">
        <f ca="1">IF(ISERROR($S252),"",OFFSET('Smelter Reference List'!$E$4,$S252-4,0))</f>
        <v>CID002696</v>
      </c>
      <c r="G252" s="292" t="str">
        <f ca="1">IF(C252=$U$4,"Enter smelter details", IF(ISERROR($S252),"",OFFSET('Smelter Reference List'!$F$4,$S252-4,0)))</f>
        <v>CFSI</v>
      </c>
      <c r="H252" s="293">
        <f ca="1">IF(ISERROR($S252),"",OFFSET('Smelter Reference List'!$G$4,$S252-4,0))</f>
        <v>0</v>
      </c>
      <c r="I252" s="294" t="str">
        <f ca="1">IF(ISERROR($S252),"",OFFSET('Smelter Reference List'!$H$4,$S252-4,0))</f>
        <v>Pangkal Pinang</v>
      </c>
      <c r="J252" s="294" t="str">
        <f ca="1">IF(ISERROR($S252),"",OFFSET('Smelter Reference List'!$I$4,$S252-4,0))</f>
        <v>Bangka</v>
      </c>
      <c r="K252" s="295"/>
      <c r="L252" s="295"/>
      <c r="M252" s="295"/>
      <c r="N252" s="295"/>
      <c r="O252" s="295"/>
      <c r="P252" s="295"/>
      <c r="Q252" s="296"/>
      <c r="R252" s="227"/>
      <c r="S252" s="228">
        <f ca="1">IF(C252="",NA(),MATCH($B252&amp;$C252,'Smelter Reference List'!$J:$J,0))</f>
        <v>408</v>
      </c>
      <c r="T252" s="229"/>
      <c r="U252" s="229">
        <f t="shared" ca="1" si="8"/>
        <v>0</v>
      </c>
      <c r="V252" s="229"/>
      <c r="W252" s="229"/>
      <c r="Y252" s="223" t="str">
        <f t="shared" ca="1" si="9"/>
        <v>TinPT Cipta Persada Mulia</v>
      </c>
    </row>
    <row r="253" spans="1:25" s="223" customFormat="1" ht="20.25">
      <c r="A253" s="291" t="s">
        <v>3467</v>
      </c>
      <c r="B253" s="292" t="str">
        <f ca="1">IF(LEN(A253)=0,"",INDEX('Smelter Reference List'!$A:$A,MATCH($A253,'Smelter Reference List'!$E:$E,0)))</f>
        <v>Tin</v>
      </c>
      <c r="C253" s="298" t="str">
        <f ca="1">IF(LEN(A253)=0,"",INDEX('Smelter Reference List'!$C:$C,MATCH($A253,'Smelter Reference List'!$E:$E,0)))</f>
        <v>Resind Indústria e Comércio Ltda.</v>
      </c>
      <c r="D253" s="292" t="str">
        <f ca="1">IF(ISERROR($S253),"",OFFSET('Smelter Reference List'!$C$4,$S253-4,0)&amp;"")</f>
        <v>Resind Indústria e Comércio Ltda.</v>
      </c>
      <c r="E253" s="292" t="str">
        <f ca="1">IF(ISERROR($S253),"",OFFSET('Smelter Reference List'!$D$4,$S253-4,0)&amp;"")</f>
        <v>BRAZIL</v>
      </c>
      <c r="F253" s="292" t="str">
        <f ca="1">IF(ISERROR($S253),"",OFFSET('Smelter Reference List'!$E$4,$S253-4,0))</f>
        <v>CID002706</v>
      </c>
      <c r="G253" s="292" t="str">
        <f ca="1">IF(C253=$U$4,"Enter smelter details", IF(ISERROR($S253),"",OFFSET('Smelter Reference List'!$F$4,$S253-4,0)))</f>
        <v>CFSI</v>
      </c>
      <c r="H253" s="293">
        <f ca="1">IF(ISERROR($S253),"",OFFSET('Smelter Reference List'!$G$4,$S253-4,0))</f>
        <v>0</v>
      </c>
      <c r="I253" s="294" t="str">
        <f ca="1">IF(ISERROR($S253),"",OFFSET('Smelter Reference List'!$H$4,$S253-4,0))</f>
        <v>São João del Rei</v>
      </c>
      <c r="J253" s="294" t="str">
        <f ca="1">IF(ISERROR($S253),"",OFFSET('Smelter Reference List'!$I$4,$S253-4,0))</f>
        <v>Minas gerais</v>
      </c>
      <c r="K253" s="295"/>
      <c r="L253" s="295"/>
      <c r="M253" s="295"/>
      <c r="N253" s="295"/>
      <c r="O253" s="295"/>
      <c r="P253" s="295"/>
      <c r="Q253" s="296"/>
      <c r="R253" s="227"/>
      <c r="S253" s="228">
        <f ca="1">IF(C253="",NA(),MATCH($B253&amp;$C253,'Smelter Reference List'!$J:$J,0))</f>
        <v>435</v>
      </c>
      <c r="T253" s="229"/>
      <c r="U253" s="229">
        <f t="shared" ca="1" si="8"/>
        <v>0</v>
      </c>
      <c r="V253" s="229"/>
      <c r="W253" s="229"/>
      <c r="Y253" s="223" t="str">
        <f t="shared" ca="1" si="9"/>
        <v>TinResind Indústria e Comércio Ltda.</v>
      </c>
    </row>
    <row r="254" spans="1:25" s="223" customFormat="1" ht="20.25">
      <c r="A254" s="291" t="s">
        <v>3366</v>
      </c>
      <c r="B254" s="292" t="str">
        <f ca="1">IF(LEN(A254)=0,"",INDEX('Smelter Reference List'!$A:$A,MATCH($A254,'Smelter Reference List'!$E:$E,0)))</f>
        <v>Tantalum</v>
      </c>
      <c r="C254" s="298" t="str">
        <f ca="1">IF(LEN(A254)=0,"",INDEX('Smelter Reference List'!$C:$C,MATCH($A254,'Smelter Reference List'!$E:$E,0)))</f>
        <v>Resind Indústria e Comércio Ltda.</v>
      </c>
      <c r="D254" s="292" t="str">
        <f ca="1">IF(ISERROR($S254),"",OFFSET('Smelter Reference List'!$C$4,$S254-4,0)&amp;"")</f>
        <v>Resind Indústria e Comércio Ltda.</v>
      </c>
      <c r="E254" s="292" t="str">
        <f ca="1">IF(ISERROR($S254),"",OFFSET('Smelter Reference List'!$D$4,$S254-4,0)&amp;"")</f>
        <v>BRAZIL</v>
      </c>
      <c r="F254" s="292" t="str">
        <f ca="1">IF(ISERROR($S254),"",OFFSET('Smelter Reference List'!$E$4,$S254-4,0))</f>
        <v>CID002707</v>
      </c>
      <c r="G254" s="292" t="str">
        <f ca="1">IF(C254=$U$4,"Enter smelter details", IF(ISERROR($S254),"",OFFSET('Smelter Reference List'!$F$4,$S254-4,0)))</f>
        <v>CFSI</v>
      </c>
      <c r="H254" s="293">
        <f ca="1">IF(ISERROR($S254),"",OFFSET('Smelter Reference List'!$G$4,$S254-4,0))</f>
        <v>0</v>
      </c>
      <c r="I254" s="294" t="str">
        <f ca="1">IF(ISERROR($S254),"",OFFSET('Smelter Reference List'!$H$4,$S254-4,0))</f>
        <v>São João del Rei</v>
      </c>
      <c r="J254" s="294" t="str">
        <f ca="1">IF(ISERROR($S254),"",OFFSET('Smelter Reference List'!$I$4,$S254-4,0))</f>
        <v>Minas gerais</v>
      </c>
      <c r="K254" s="295"/>
      <c r="L254" s="295"/>
      <c r="M254" s="295"/>
      <c r="N254" s="295"/>
      <c r="O254" s="295"/>
      <c r="P254" s="295"/>
      <c r="Q254" s="296"/>
      <c r="R254" s="227"/>
      <c r="S254" s="228">
        <f ca="1">IF(C254="",NA(),MATCH($B254&amp;$C254,'Smelter Reference List'!$J:$J,0))</f>
        <v>289</v>
      </c>
      <c r="T254" s="229"/>
      <c r="U254" s="229">
        <f t="shared" ca="1" si="8"/>
        <v>0</v>
      </c>
      <c r="V254" s="229"/>
      <c r="W254" s="229"/>
      <c r="Y254" s="223" t="str">
        <f t="shared" ca="1" si="9"/>
        <v>TantalumResind Indústria e Comércio Ltda.</v>
      </c>
    </row>
    <row r="255" spans="1:25" s="223" customFormat="1" ht="20.25">
      <c r="A255" s="291" t="s">
        <v>3469</v>
      </c>
      <c r="B255" s="292" t="str">
        <f ca="1">IF(LEN(A255)=0,"",INDEX('Smelter Reference List'!$A:$A,MATCH($A255,'Smelter Reference List'!$E:$E,0)))</f>
        <v>Tin</v>
      </c>
      <c r="C255" s="298" t="str">
        <f ca="1">IF(LEN(A255)=0,"",INDEX('Smelter Reference List'!$C:$C,MATCH($A255,'Smelter Reference List'!$E:$E,0)))</f>
        <v>Metallo-Chimique N.V.</v>
      </c>
      <c r="D255" s="292" t="str">
        <f ca="1">IF(ISERROR($S255),"",OFFSET('Smelter Reference List'!$C$4,$S255-4,0)&amp;"")</f>
        <v>Metallo-Chimique N.V.</v>
      </c>
      <c r="E255" s="292" t="str">
        <f ca="1">IF(ISERROR($S255),"",OFFSET('Smelter Reference List'!$D$4,$S255-4,0)&amp;"")</f>
        <v>BELGIUM</v>
      </c>
      <c r="F255" s="292" t="str">
        <f ca="1">IF(ISERROR($S255),"",OFFSET('Smelter Reference List'!$E$4,$S255-4,0))</f>
        <v>CID002773</v>
      </c>
      <c r="G255" s="292" t="str">
        <f ca="1">IF(C255=$U$4,"Enter smelter details", IF(ISERROR($S255),"",OFFSET('Smelter Reference List'!$F$4,$S255-4,0)))</f>
        <v>CFSI</v>
      </c>
      <c r="H255" s="293">
        <f ca="1">IF(ISERROR($S255),"",OFFSET('Smelter Reference List'!$G$4,$S255-4,0))</f>
        <v>0</v>
      </c>
      <c r="I255" s="294" t="str">
        <f ca="1">IF(ISERROR($S255),"",OFFSET('Smelter Reference List'!$H$4,$S255-4,0))</f>
        <v>Beerse</v>
      </c>
      <c r="J255" s="294" t="str">
        <f ca="1">IF(ISERROR($S255),"",OFFSET('Smelter Reference List'!$I$4,$S255-4,0))</f>
        <v>Antwerp</v>
      </c>
      <c r="K255" s="295"/>
      <c r="L255" s="295"/>
      <c r="M255" s="295"/>
      <c r="N255" s="295"/>
      <c r="O255" s="295"/>
      <c r="P255" s="295"/>
      <c r="Q255" s="296"/>
      <c r="R255" s="227"/>
      <c r="S255" s="228">
        <f ca="1">IF(C255="",NA(),MATCH($B255&amp;$C255,'Smelter Reference List'!$J:$J,0))</f>
        <v>385</v>
      </c>
      <c r="T255" s="229"/>
      <c r="U255" s="229">
        <f t="shared" ca="1" si="8"/>
        <v>0</v>
      </c>
      <c r="V255" s="229"/>
      <c r="W255" s="229"/>
      <c r="Y255" s="223" t="str">
        <f t="shared" ca="1" si="9"/>
        <v>TinMetallo-Chimique N.V.</v>
      </c>
    </row>
    <row r="256" spans="1:25" s="223" customFormat="1" ht="20.25">
      <c r="A256" s="291" t="s">
        <v>3471</v>
      </c>
      <c r="B256" s="292" t="str">
        <f ca="1">IF(LEN(A256)=0,"",INDEX('Smelter Reference List'!$A:$A,MATCH($A256,'Smelter Reference List'!$E:$E,0)))</f>
        <v>Tin</v>
      </c>
      <c r="C256" s="298" t="str">
        <f ca="1">IF(LEN(A256)=0,"",INDEX('Smelter Reference List'!$C:$C,MATCH($A256,'Smelter Reference List'!$E:$E,0)))</f>
        <v>Elmet S.L.U.</v>
      </c>
      <c r="D256" s="292" t="str">
        <f ca="1">IF(ISERROR($S256),"",OFFSET('Smelter Reference List'!$C$4,$S256-4,0)&amp;"")</f>
        <v>Elmet S.L.U.</v>
      </c>
      <c r="E256" s="292" t="str">
        <f ca="1">IF(ISERROR($S256),"",OFFSET('Smelter Reference List'!$D$4,$S256-4,0)&amp;"")</f>
        <v>SPAIN</v>
      </c>
      <c r="F256" s="292" t="str">
        <f ca="1">IF(ISERROR($S256),"",OFFSET('Smelter Reference List'!$E$4,$S256-4,0))</f>
        <v>CID002774</v>
      </c>
      <c r="G256" s="292" t="str">
        <f ca="1">IF(C256=$U$4,"Enter smelter details", IF(ISERROR($S256),"",OFFSET('Smelter Reference List'!$F$4,$S256-4,0)))</f>
        <v>CFSI</v>
      </c>
      <c r="H256" s="293">
        <f ca="1">IF(ISERROR($S256),"",OFFSET('Smelter Reference List'!$G$4,$S256-4,0))</f>
        <v>0</v>
      </c>
      <c r="I256" s="294" t="str">
        <f ca="1">IF(ISERROR($S256),"",OFFSET('Smelter Reference List'!$H$4,$S256-4,0))</f>
        <v>Berango</v>
      </c>
      <c r="J256" s="294" t="str">
        <f ca="1">IF(ISERROR($S256),"",OFFSET('Smelter Reference List'!$I$4,$S256-4,0))</f>
        <v>Vizcaya</v>
      </c>
      <c r="K256" s="295"/>
      <c r="L256" s="295"/>
      <c r="M256" s="295"/>
      <c r="N256" s="295"/>
      <c r="O256" s="295"/>
      <c r="P256" s="295"/>
      <c r="Q256" s="296"/>
      <c r="R256" s="227"/>
      <c r="S256" s="228">
        <f ca="1">IF(C256="",NA(),MATCH($B256&amp;$C256,'Smelter Reference List'!$J:$J,0))</f>
        <v>346</v>
      </c>
      <c r="T256" s="229"/>
      <c r="U256" s="229">
        <f t="shared" ca="1" si="8"/>
        <v>0</v>
      </c>
      <c r="V256" s="229"/>
      <c r="W256" s="229"/>
      <c r="Y256" s="223" t="str">
        <f t="shared" ca="1" si="9"/>
        <v>TinElmet S.L.U.</v>
      </c>
    </row>
    <row r="257" spans="1:25" s="223" customFormat="1" ht="20.25">
      <c r="A257" s="291" t="s">
        <v>4163</v>
      </c>
      <c r="B257" s="292" t="str">
        <f ca="1">IF(LEN(A257)=0,"",INDEX('Smelter Reference List'!$A:$A,MATCH($A257,'Smelter Reference List'!$E:$E,0)))</f>
        <v>Tin</v>
      </c>
      <c r="C257" s="298" t="str">
        <f ca="1">IF(LEN(A257)=0,"",INDEX('Smelter Reference List'!$C:$C,MATCH($A257,'Smelter Reference List'!$E:$E,0)))</f>
        <v>PT Bangka Prima Tin</v>
      </c>
      <c r="D257" s="292" t="str">
        <f ca="1">IF(ISERROR($S257),"",OFFSET('Smelter Reference List'!$C$4,$S257-4,0)&amp;"")</f>
        <v>PT Bangka Prima Tin</v>
      </c>
      <c r="E257" s="292" t="str">
        <f ca="1">IF(ISERROR($S257),"",OFFSET('Smelter Reference List'!$D$4,$S257-4,0)&amp;"")</f>
        <v>INDONESIA</v>
      </c>
      <c r="F257" s="292" t="str">
        <f ca="1">IF(ISERROR($S257),"",OFFSET('Smelter Reference List'!$E$4,$S257-4,0))</f>
        <v>CID002776</v>
      </c>
      <c r="G257" s="292" t="str">
        <f ca="1">IF(C257=$U$4,"Enter smelter details", IF(ISERROR($S257),"",OFFSET('Smelter Reference List'!$F$4,$S257-4,0)))</f>
        <v>CFSI</v>
      </c>
      <c r="H257" s="293">
        <f ca="1">IF(ISERROR($S257),"",OFFSET('Smelter Reference List'!$G$4,$S257-4,0))</f>
        <v>0</v>
      </c>
      <c r="I257" s="294" t="str">
        <f ca="1">IF(ISERROR($S257),"",OFFSET('Smelter Reference List'!$H$4,$S257-4,0))</f>
        <v>Kabupaten</v>
      </c>
      <c r="J257" s="294" t="str">
        <f ca="1">IF(ISERROR($S257),"",OFFSET('Smelter Reference List'!$I$4,$S257-4,0))</f>
        <v>Bangka</v>
      </c>
      <c r="K257" s="295"/>
      <c r="L257" s="295"/>
      <c r="M257" s="295"/>
      <c r="N257" s="295"/>
      <c r="O257" s="295"/>
      <c r="P257" s="295"/>
      <c r="Q257" s="296"/>
      <c r="R257" s="227"/>
      <c r="S257" s="228">
        <f ca="1">IF(C257="",NA(),MATCH($B257&amp;$C257,'Smelter Reference List'!$J:$J,0))</f>
        <v>404</v>
      </c>
      <c r="T257" s="229"/>
      <c r="U257" s="229">
        <f t="shared" ca="1" si="8"/>
        <v>0</v>
      </c>
      <c r="V257" s="229"/>
      <c r="W257" s="229"/>
      <c r="Y257" s="223" t="str">
        <f t="shared" ca="1" si="9"/>
        <v>TinPT Bangka Prima Tin</v>
      </c>
    </row>
    <row r="258" spans="1:25" s="223" customFormat="1" ht="20.25">
      <c r="A258" s="291" t="s">
        <v>4160</v>
      </c>
      <c r="B258" s="292" t="str">
        <f ca="1">IF(LEN(A258)=0,"",INDEX('Smelter Reference List'!$A:$A,MATCH($A258,'Smelter Reference List'!$E:$E,0)))</f>
        <v>Gold</v>
      </c>
      <c r="C258" s="298" t="str">
        <f ca="1">IF(LEN(A258)=0,"",INDEX('Smelter Reference List'!$C:$C,MATCH($A258,'Smelter Reference List'!$E:$E,0)))</f>
        <v>Ögussa Österreichische Gold- und Silber-Scheideanstalt GmbH</v>
      </c>
      <c r="D258" s="292" t="str">
        <f ca="1">IF(ISERROR($S258),"",OFFSET('Smelter Reference List'!$C$4,$S258-4,0)&amp;"")</f>
        <v>Ögussa Österreichische Gold- und Silber-Scheideanstalt GmbH</v>
      </c>
      <c r="E258" s="292" t="str">
        <f ca="1">IF(ISERROR($S258),"",OFFSET('Smelter Reference List'!$D$4,$S258-4,0)&amp;"")</f>
        <v>AUSTRIA</v>
      </c>
      <c r="F258" s="292" t="str">
        <f ca="1">IF(ISERROR($S258),"",OFFSET('Smelter Reference List'!$E$4,$S258-4,0))</f>
        <v>CID002779</v>
      </c>
      <c r="G258" s="292" t="str">
        <f ca="1">IF(C258=$U$4,"Enter smelter details", IF(ISERROR($S258),"",OFFSET('Smelter Reference List'!$F$4,$S258-4,0)))</f>
        <v>CFSI</v>
      </c>
      <c r="H258" s="293">
        <f ca="1">IF(ISERROR($S258),"",OFFSET('Smelter Reference List'!$G$4,$S258-4,0))</f>
        <v>0</v>
      </c>
      <c r="I258" s="294" t="str">
        <f ca="1">IF(ISERROR($S258),"",OFFSET('Smelter Reference List'!$H$4,$S258-4,0))</f>
        <v>Vienna</v>
      </c>
      <c r="J258" s="294" t="str">
        <f ca="1">IF(ISERROR($S258),"",OFFSET('Smelter Reference List'!$I$4,$S258-4,0))</f>
        <v>Vienna</v>
      </c>
      <c r="K258" s="295"/>
      <c r="L258" s="295"/>
      <c r="M258" s="295"/>
      <c r="N258" s="295"/>
      <c r="O258" s="295"/>
      <c r="P258" s="295"/>
      <c r="Q258" s="296"/>
      <c r="R258" s="227"/>
      <c r="S258" s="228">
        <f ca="1">IF(C258="",NA(),MATCH($B258&amp;$C258,'Smelter Reference List'!$J:$J,0))</f>
        <v>141</v>
      </c>
      <c r="T258" s="229"/>
      <c r="U258" s="229">
        <f t="shared" ca="1" si="8"/>
        <v>0</v>
      </c>
      <c r="V258" s="229"/>
      <c r="W258" s="229"/>
      <c r="Y258" s="223" t="str">
        <f t="shared" ca="1" si="9"/>
        <v>GoldÖgussa Österreichische Gold- und Silber-Scheideanstalt GmbH</v>
      </c>
    </row>
    <row r="259" spans="1:25" s="223" customFormat="1" ht="20.25">
      <c r="A259" s="291" t="s">
        <v>4205</v>
      </c>
      <c r="B259" s="292" t="str">
        <f ca="1">IF(LEN(A259)=0,"",INDEX('Smelter Reference List'!$A:$A,MATCH($A259,'Smelter Reference List'!$E:$E,0)))</f>
        <v>Tin</v>
      </c>
      <c r="C259" s="298" t="str">
        <f ca="1">IF(LEN(A259)=0,"",INDEX('Smelter Reference List'!$C:$C,MATCH($A259,'Smelter Reference List'!$E:$E,0)))</f>
        <v>PT Sukses Inti Makmur</v>
      </c>
      <c r="D259" s="292" t="str">
        <f ca="1">IF(ISERROR($S259),"",OFFSET('Smelter Reference List'!$C$4,$S259-4,0)&amp;"")</f>
        <v>PT Sukses Inti Makmur</v>
      </c>
      <c r="E259" s="292" t="str">
        <f ca="1">IF(ISERROR($S259),"",OFFSET('Smelter Reference List'!$D$4,$S259-4,0)&amp;"")</f>
        <v>INDONESIA</v>
      </c>
      <c r="F259" s="292" t="str">
        <f ca="1">IF(ISERROR($S259),"",OFFSET('Smelter Reference List'!$E$4,$S259-4,0))</f>
        <v>CID002816</v>
      </c>
      <c r="G259" s="292" t="str">
        <f ca="1">IF(C259=$U$4,"Enter smelter details", IF(ISERROR($S259),"",OFFSET('Smelter Reference List'!$F$4,$S259-4,0)))</f>
        <v>CFSI</v>
      </c>
      <c r="H259" s="293">
        <f ca="1">IF(ISERROR($S259),"",OFFSET('Smelter Reference List'!$G$4,$S259-4,0))</f>
        <v>0</v>
      </c>
      <c r="I259" s="294" t="str">
        <f ca="1">IF(ISERROR($S259),"",OFFSET('Smelter Reference List'!$H$4,$S259-4,0))</f>
        <v>Kabupaten</v>
      </c>
      <c r="J259" s="294" t="str">
        <f ca="1">IF(ISERROR($S259),"",OFFSET('Smelter Reference List'!$I$4,$S259-4,0))</f>
        <v>Bangka</v>
      </c>
      <c r="K259" s="295"/>
      <c r="L259" s="295"/>
      <c r="M259" s="295"/>
      <c r="N259" s="295"/>
      <c r="O259" s="295"/>
      <c r="P259" s="295"/>
      <c r="Q259" s="296"/>
      <c r="R259" s="227"/>
      <c r="S259" s="228">
        <f ca="1">IF(C259="",NA(),MATCH($B259&amp;$C259,'Smelter Reference List'!$J:$J,0))</f>
        <v>426</v>
      </c>
      <c r="T259" s="229"/>
      <c r="U259" s="229">
        <f t="shared" ca="1" si="8"/>
        <v>0</v>
      </c>
      <c r="V259" s="229"/>
      <c r="W259" s="229"/>
      <c r="Y259" s="223" t="str">
        <f t="shared" ca="1" si="9"/>
        <v>TinPT Sukses Inti Makmur</v>
      </c>
    </row>
    <row r="260" spans="1:25" s="223" customFormat="1" ht="20.25">
      <c r="A260" s="291"/>
      <c r="B260" s="292" t="str">
        <f>IF(LEN(A260)=0,"",INDEX('Smelter Reference List'!$A:$A,MATCH($A260,'Smelter Reference List'!$E:$E,0)))</f>
        <v/>
      </c>
      <c r="C260" s="298" t="str">
        <f>IF(LEN(A260)=0,"",INDEX('Smelter Reference List'!$C:$C,MATCH($A260,'Smelter Reference List'!$E:$E,0)))</f>
        <v/>
      </c>
      <c r="D260" s="292" t="str">
        <f ca="1">IF(ISERROR($S260),"",OFFSET('Smelter Reference List'!$C$4,$S260-4,0)&amp;"")</f>
        <v/>
      </c>
      <c r="E260" s="292" t="str">
        <f ca="1">IF(ISERROR($S260),"",OFFSET('Smelter Reference List'!$D$4,$S260-4,0)&amp;"")</f>
        <v/>
      </c>
      <c r="F260" s="292" t="str">
        <f ca="1">IF(ISERROR($S260),"",OFFSET('Smelter Reference List'!$E$4,$S260-4,0))</f>
        <v/>
      </c>
      <c r="G260" s="292" t="str">
        <f ca="1">IF(C260=$U$4,"Enter smelter details", IF(ISERROR($S260),"",OFFSET('Smelter Reference List'!$F$4,$S260-4,0)))</f>
        <v/>
      </c>
      <c r="H260" s="293" t="str">
        <f ca="1">IF(ISERROR($S260),"",OFFSET('Smelter Reference List'!$G$4,$S260-4,0))</f>
        <v/>
      </c>
      <c r="I260" s="294" t="str">
        <f ca="1">IF(ISERROR($S260),"",OFFSET('Smelter Reference List'!$H$4,$S260-4,0))</f>
        <v/>
      </c>
      <c r="J260" s="294" t="str">
        <f ca="1">IF(ISERROR($S260),"",OFFSET('Smelter Reference List'!$I$4,$S260-4,0))</f>
        <v/>
      </c>
      <c r="K260" s="295"/>
      <c r="L260" s="295"/>
      <c r="M260" s="295"/>
      <c r="N260" s="295"/>
      <c r="O260" s="295"/>
      <c r="P260" s="295"/>
      <c r="Q260" s="296"/>
      <c r="R260" s="227"/>
      <c r="S260" s="228" t="e">
        <f>IF(C260="",NA(),MATCH($B260&amp;$C260,'Smelter Reference List'!$J:$J,0))</f>
        <v>#N/A</v>
      </c>
      <c r="T260" s="229"/>
      <c r="U260" s="229">
        <f t="shared" ca="1" si="8"/>
        <v>0</v>
      </c>
      <c r="V260" s="229"/>
      <c r="W260" s="229"/>
      <c r="Y260" s="223" t="str">
        <f t="shared" si="9"/>
        <v/>
      </c>
    </row>
    <row r="261" spans="1:25" s="223" customFormat="1" ht="20.25">
      <c r="A261" s="291"/>
      <c r="B261" s="292" t="str">
        <f>IF(LEN(A261)=0,"",INDEX('Smelter Reference List'!$A:$A,MATCH($A261,'Smelter Reference List'!$E:$E,0)))</f>
        <v/>
      </c>
      <c r="C261" s="298" t="str">
        <f>IF(LEN(A261)=0,"",INDEX('Smelter Reference List'!$C:$C,MATCH($A261,'Smelter Reference List'!$E:$E,0)))</f>
        <v/>
      </c>
      <c r="D261" s="292" t="str">
        <f ca="1">IF(ISERROR($S261),"",OFFSET('Smelter Reference List'!$C$4,$S261-4,0)&amp;"")</f>
        <v/>
      </c>
      <c r="E261" s="292" t="str">
        <f ca="1">IF(ISERROR($S261),"",OFFSET('Smelter Reference List'!$D$4,$S261-4,0)&amp;"")</f>
        <v/>
      </c>
      <c r="F261" s="292" t="str">
        <f ca="1">IF(ISERROR($S261),"",OFFSET('Smelter Reference List'!$E$4,$S261-4,0))</f>
        <v/>
      </c>
      <c r="G261" s="292" t="str">
        <f ca="1">IF(C261=$U$4,"Enter smelter details", IF(ISERROR($S261),"",OFFSET('Smelter Reference List'!$F$4,$S261-4,0)))</f>
        <v/>
      </c>
      <c r="H261" s="293" t="str">
        <f ca="1">IF(ISERROR($S261),"",OFFSET('Smelter Reference List'!$G$4,$S261-4,0))</f>
        <v/>
      </c>
      <c r="I261" s="294" t="str">
        <f ca="1">IF(ISERROR($S261),"",OFFSET('Smelter Reference List'!$H$4,$S261-4,0))</f>
        <v/>
      </c>
      <c r="J261" s="294" t="str">
        <f ca="1">IF(ISERROR($S261),"",OFFSET('Smelter Reference List'!$I$4,$S261-4,0))</f>
        <v/>
      </c>
      <c r="K261" s="295"/>
      <c r="L261" s="295"/>
      <c r="M261" s="295"/>
      <c r="N261" s="295"/>
      <c r="O261" s="295"/>
      <c r="P261" s="295"/>
      <c r="Q261" s="296"/>
      <c r="R261" s="227"/>
      <c r="S261" s="228" t="e">
        <f>IF(C261="",NA(),MATCH($B261&amp;$C261,'Smelter Reference List'!$J:$J,0))</f>
        <v>#N/A</v>
      </c>
      <c r="T261" s="229"/>
      <c r="U261" s="229">
        <f t="shared" ref="U261:U324" ca="1" si="10">IF(AND(C261="Smelter not listed",OR(LEN(D261)=0,LEN(E261)=0)),1,0)</f>
        <v>0</v>
      </c>
      <c r="V261" s="229"/>
      <c r="W261" s="229"/>
      <c r="Y261" s="223" t="str">
        <f t="shared" ref="Y261:Y324" si="11">B261&amp;C261</f>
        <v/>
      </c>
    </row>
    <row r="262" spans="1:25" s="223" customFormat="1" ht="20.25">
      <c r="A262" s="291"/>
      <c r="B262" s="292" t="str">
        <f>IF(LEN(A262)=0,"",INDEX('Smelter Reference List'!$A:$A,MATCH($A262,'Smelter Reference List'!$E:$E,0)))</f>
        <v/>
      </c>
      <c r="C262" s="298" t="str">
        <f>IF(LEN(A262)=0,"",INDEX('Smelter Reference List'!$C:$C,MATCH($A262,'Smelter Reference List'!$E:$E,0)))</f>
        <v/>
      </c>
      <c r="D262" s="292" t="str">
        <f ca="1">IF(ISERROR($S262),"",OFFSET('Smelter Reference List'!$C$4,$S262-4,0)&amp;"")</f>
        <v/>
      </c>
      <c r="E262" s="292" t="str">
        <f ca="1">IF(ISERROR($S262),"",OFFSET('Smelter Reference List'!$D$4,$S262-4,0)&amp;"")</f>
        <v/>
      </c>
      <c r="F262" s="292" t="str">
        <f ca="1">IF(ISERROR($S262),"",OFFSET('Smelter Reference List'!$E$4,$S262-4,0))</f>
        <v/>
      </c>
      <c r="G262" s="292" t="str">
        <f ca="1">IF(C262=$U$4,"Enter smelter details", IF(ISERROR($S262),"",OFFSET('Smelter Reference List'!$F$4,$S262-4,0)))</f>
        <v/>
      </c>
      <c r="H262" s="293" t="str">
        <f ca="1">IF(ISERROR($S262),"",OFFSET('Smelter Reference List'!$G$4,$S262-4,0))</f>
        <v/>
      </c>
      <c r="I262" s="294" t="str">
        <f ca="1">IF(ISERROR($S262),"",OFFSET('Smelter Reference List'!$H$4,$S262-4,0))</f>
        <v/>
      </c>
      <c r="J262" s="294" t="str">
        <f ca="1">IF(ISERROR($S262),"",OFFSET('Smelter Reference List'!$I$4,$S262-4,0))</f>
        <v/>
      </c>
      <c r="K262" s="295"/>
      <c r="L262" s="295"/>
      <c r="M262" s="295"/>
      <c r="N262" s="295"/>
      <c r="O262" s="295"/>
      <c r="P262" s="295"/>
      <c r="Q262" s="296"/>
      <c r="R262" s="227"/>
      <c r="S262" s="228" t="e">
        <f>IF(C262="",NA(),MATCH($B262&amp;$C262,'Smelter Reference List'!$J:$J,0))</f>
        <v>#N/A</v>
      </c>
      <c r="T262" s="229"/>
      <c r="U262" s="229">
        <f t="shared" ca="1" si="10"/>
        <v>0</v>
      </c>
      <c r="V262" s="229"/>
      <c r="W262" s="229"/>
      <c r="Y262" s="223" t="str">
        <f t="shared" si="11"/>
        <v/>
      </c>
    </row>
    <row r="263" spans="1:25" s="223" customFormat="1" ht="20.25">
      <c r="A263" s="291"/>
      <c r="B263" s="292" t="str">
        <f>IF(LEN(A263)=0,"",INDEX('Smelter Reference List'!$A:$A,MATCH($A263,'Smelter Reference List'!$E:$E,0)))</f>
        <v/>
      </c>
      <c r="C263" s="298" t="str">
        <f>IF(LEN(A263)=0,"",INDEX('Smelter Reference List'!$C:$C,MATCH($A263,'Smelter Reference List'!$E:$E,0)))</f>
        <v/>
      </c>
      <c r="D263" s="292" t="str">
        <f ca="1">IF(ISERROR($S263),"",OFFSET('Smelter Reference List'!$C$4,$S263-4,0)&amp;"")</f>
        <v/>
      </c>
      <c r="E263" s="292" t="str">
        <f ca="1">IF(ISERROR($S263),"",OFFSET('Smelter Reference List'!$D$4,$S263-4,0)&amp;"")</f>
        <v/>
      </c>
      <c r="F263" s="292" t="str">
        <f ca="1">IF(ISERROR($S263),"",OFFSET('Smelter Reference List'!$E$4,$S263-4,0))</f>
        <v/>
      </c>
      <c r="G263" s="292" t="str">
        <f ca="1">IF(C263=$U$4,"Enter smelter details", IF(ISERROR($S263),"",OFFSET('Smelter Reference List'!$F$4,$S263-4,0)))</f>
        <v/>
      </c>
      <c r="H263" s="293" t="str">
        <f ca="1">IF(ISERROR($S263),"",OFFSET('Smelter Reference List'!$G$4,$S263-4,0))</f>
        <v/>
      </c>
      <c r="I263" s="294" t="str">
        <f ca="1">IF(ISERROR($S263),"",OFFSET('Smelter Reference List'!$H$4,$S263-4,0))</f>
        <v/>
      </c>
      <c r="J263" s="294" t="str">
        <f ca="1">IF(ISERROR($S263),"",OFFSET('Smelter Reference List'!$I$4,$S263-4,0))</f>
        <v/>
      </c>
      <c r="K263" s="295"/>
      <c r="L263" s="295"/>
      <c r="M263" s="295"/>
      <c r="N263" s="295"/>
      <c r="O263" s="295"/>
      <c r="P263" s="295"/>
      <c r="Q263" s="296"/>
      <c r="R263" s="227"/>
      <c r="S263" s="228" t="e">
        <f>IF(C263="",NA(),MATCH($B263&amp;$C263,'Smelter Reference List'!$J:$J,0))</f>
        <v>#N/A</v>
      </c>
      <c r="T263" s="229"/>
      <c r="U263" s="229">
        <f t="shared" ca="1" si="10"/>
        <v>0</v>
      </c>
      <c r="V263" s="229"/>
      <c r="W263" s="229"/>
      <c r="Y263" s="223" t="str">
        <f t="shared" si="11"/>
        <v/>
      </c>
    </row>
    <row r="264" spans="1:25" s="223" customFormat="1" ht="20.25">
      <c r="A264" s="291"/>
      <c r="B264" s="292" t="str">
        <f>IF(LEN(A264)=0,"",INDEX('Smelter Reference List'!$A:$A,MATCH($A264,'Smelter Reference List'!$E:$E,0)))</f>
        <v/>
      </c>
      <c r="C264" s="298" t="str">
        <f>IF(LEN(A264)=0,"",INDEX('Smelter Reference List'!$C:$C,MATCH($A264,'Smelter Reference List'!$E:$E,0)))</f>
        <v/>
      </c>
      <c r="D264" s="292" t="str">
        <f ca="1">IF(ISERROR($S264),"",OFFSET('Smelter Reference List'!$C$4,$S264-4,0)&amp;"")</f>
        <v/>
      </c>
      <c r="E264" s="292" t="str">
        <f ca="1">IF(ISERROR($S264),"",OFFSET('Smelter Reference List'!$D$4,$S264-4,0)&amp;"")</f>
        <v/>
      </c>
      <c r="F264" s="292" t="str">
        <f ca="1">IF(ISERROR($S264),"",OFFSET('Smelter Reference List'!$E$4,$S264-4,0))</f>
        <v/>
      </c>
      <c r="G264" s="292" t="str">
        <f ca="1">IF(C264=$U$4,"Enter smelter details", IF(ISERROR($S264),"",OFFSET('Smelter Reference List'!$F$4,$S264-4,0)))</f>
        <v/>
      </c>
      <c r="H264" s="293" t="str">
        <f ca="1">IF(ISERROR($S264),"",OFFSET('Smelter Reference List'!$G$4,$S264-4,0))</f>
        <v/>
      </c>
      <c r="I264" s="294" t="str">
        <f ca="1">IF(ISERROR($S264),"",OFFSET('Smelter Reference List'!$H$4,$S264-4,0))</f>
        <v/>
      </c>
      <c r="J264" s="294" t="str">
        <f ca="1">IF(ISERROR($S264),"",OFFSET('Smelter Reference List'!$I$4,$S264-4,0))</f>
        <v/>
      </c>
      <c r="K264" s="295"/>
      <c r="L264" s="295"/>
      <c r="M264" s="295"/>
      <c r="N264" s="295"/>
      <c r="O264" s="295"/>
      <c r="P264" s="295"/>
      <c r="Q264" s="296"/>
      <c r="R264" s="227"/>
      <c r="S264" s="228" t="e">
        <f>IF(C264="",NA(),MATCH($B264&amp;$C264,'Smelter Reference List'!$J:$J,0))</f>
        <v>#N/A</v>
      </c>
      <c r="T264" s="229"/>
      <c r="U264" s="229">
        <f t="shared" ca="1" si="10"/>
        <v>0</v>
      </c>
      <c r="V264" s="229"/>
      <c r="W264" s="229"/>
      <c r="Y264" s="223" t="str">
        <f t="shared" si="11"/>
        <v/>
      </c>
    </row>
    <row r="265" spans="1:25" s="223" customFormat="1" ht="20.25">
      <c r="A265" s="291"/>
      <c r="B265" s="292" t="str">
        <f>IF(LEN(A265)=0,"",INDEX('Smelter Reference List'!$A:$A,MATCH($A265,'Smelter Reference List'!$E:$E,0)))</f>
        <v/>
      </c>
      <c r="C265" s="298" t="str">
        <f>IF(LEN(A265)=0,"",INDEX('Smelter Reference List'!$C:$C,MATCH($A265,'Smelter Reference List'!$E:$E,0)))</f>
        <v/>
      </c>
      <c r="D265" s="292" t="str">
        <f ca="1">IF(ISERROR($S265),"",OFFSET('Smelter Reference List'!$C$4,$S265-4,0)&amp;"")</f>
        <v/>
      </c>
      <c r="E265" s="292" t="str">
        <f ca="1">IF(ISERROR($S265),"",OFFSET('Smelter Reference List'!$D$4,$S265-4,0)&amp;"")</f>
        <v/>
      </c>
      <c r="F265" s="292" t="str">
        <f ca="1">IF(ISERROR($S265),"",OFFSET('Smelter Reference List'!$E$4,$S265-4,0))</f>
        <v/>
      </c>
      <c r="G265" s="292" t="str">
        <f ca="1">IF(C265=$U$4,"Enter smelter details", IF(ISERROR($S265),"",OFFSET('Smelter Reference List'!$F$4,$S265-4,0)))</f>
        <v/>
      </c>
      <c r="H265" s="293" t="str">
        <f ca="1">IF(ISERROR($S265),"",OFFSET('Smelter Reference List'!$G$4,$S265-4,0))</f>
        <v/>
      </c>
      <c r="I265" s="294" t="str">
        <f ca="1">IF(ISERROR($S265),"",OFFSET('Smelter Reference List'!$H$4,$S265-4,0))</f>
        <v/>
      </c>
      <c r="J265" s="294" t="str">
        <f ca="1">IF(ISERROR($S265),"",OFFSET('Smelter Reference List'!$I$4,$S265-4,0))</f>
        <v/>
      </c>
      <c r="K265" s="295"/>
      <c r="L265" s="295"/>
      <c r="M265" s="295"/>
      <c r="N265" s="295"/>
      <c r="O265" s="295"/>
      <c r="P265" s="295"/>
      <c r="Q265" s="296"/>
      <c r="R265" s="227"/>
      <c r="S265" s="228" t="e">
        <f>IF(C265="",NA(),MATCH($B265&amp;$C265,'Smelter Reference List'!$J:$J,0))</f>
        <v>#N/A</v>
      </c>
      <c r="T265" s="229"/>
      <c r="U265" s="229">
        <f t="shared" ca="1" si="10"/>
        <v>0</v>
      </c>
      <c r="V265" s="229"/>
      <c r="W265" s="229"/>
      <c r="Y265" s="223" t="str">
        <f t="shared" si="11"/>
        <v/>
      </c>
    </row>
    <row r="266" spans="1:25" s="223" customFormat="1" ht="20.25">
      <c r="A266" s="291"/>
      <c r="B266" s="292" t="str">
        <f>IF(LEN(A266)=0,"",INDEX('Smelter Reference List'!$A:$A,MATCH($A266,'Smelter Reference List'!$E:$E,0)))</f>
        <v/>
      </c>
      <c r="C266" s="298" t="str">
        <f>IF(LEN(A266)=0,"",INDEX('Smelter Reference List'!$C:$C,MATCH($A266,'Smelter Reference List'!$E:$E,0)))</f>
        <v/>
      </c>
      <c r="D266" s="292" t="str">
        <f ca="1">IF(ISERROR($S266),"",OFFSET('Smelter Reference List'!$C$4,$S266-4,0)&amp;"")</f>
        <v/>
      </c>
      <c r="E266" s="292" t="str">
        <f ca="1">IF(ISERROR($S266),"",OFFSET('Smelter Reference List'!$D$4,$S266-4,0)&amp;"")</f>
        <v/>
      </c>
      <c r="F266" s="292" t="str">
        <f ca="1">IF(ISERROR($S266),"",OFFSET('Smelter Reference List'!$E$4,$S266-4,0))</f>
        <v/>
      </c>
      <c r="G266" s="292" t="str">
        <f ca="1">IF(C266=$U$4,"Enter smelter details", IF(ISERROR($S266),"",OFFSET('Smelter Reference List'!$F$4,$S266-4,0)))</f>
        <v/>
      </c>
      <c r="H266" s="293" t="str">
        <f ca="1">IF(ISERROR($S266),"",OFFSET('Smelter Reference List'!$G$4,$S266-4,0))</f>
        <v/>
      </c>
      <c r="I266" s="294" t="str">
        <f ca="1">IF(ISERROR($S266),"",OFFSET('Smelter Reference List'!$H$4,$S266-4,0))</f>
        <v/>
      </c>
      <c r="J266" s="294" t="str">
        <f ca="1">IF(ISERROR($S266),"",OFFSET('Smelter Reference List'!$I$4,$S266-4,0))</f>
        <v/>
      </c>
      <c r="K266" s="295"/>
      <c r="L266" s="295"/>
      <c r="M266" s="295"/>
      <c r="N266" s="295"/>
      <c r="O266" s="295"/>
      <c r="P266" s="295"/>
      <c r="Q266" s="296"/>
      <c r="R266" s="227"/>
      <c r="S266" s="228" t="e">
        <f>IF(C266="",NA(),MATCH($B266&amp;$C266,'Smelter Reference List'!$J:$J,0))</f>
        <v>#N/A</v>
      </c>
      <c r="T266" s="229"/>
      <c r="U266" s="229">
        <f t="shared" ca="1" si="10"/>
        <v>0</v>
      </c>
      <c r="V266" s="229"/>
      <c r="W266" s="229"/>
      <c r="Y266" s="223" t="str">
        <f t="shared" si="11"/>
        <v/>
      </c>
    </row>
    <row r="267" spans="1:25" s="223" customFormat="1" ht="20.25">
      <c r="A267" s="291"/>
      <c r="B267" s="292" t="str">
        <f>IF(LEN(A267)=0,"",INDEX('Smelter Reference List'!$A:$A,MATCH($A267,'Smelter Reference List'!$E:$E,0)))</f>
        <v/>
      </c>
      <c r="C267" s="298" t="str">
        <f>IF(LEN(A267)=0,"",INDEX('Smelter Reference List'!$C:$C,MATCH($A267,'Smelter Reference List'!$E:$E,0)))</f>
        <v/>
      </c>
      <c r="D267" s="292" t="str">
        <f ca="1">IF(ISERROR($S267),"",OFFSET('Smelter Reference List'!$C$4,$S267-4,0)&amp;"")</f>
        <v/>
      </c>
      <c r="E267" s="292" t="str">
        <f ca="1">IF(ISERROR($S267),"",OFFSET('Smelter Reference List'!$D$4,$S267-4,0)&amp;"")</f>
        <v/>
      </c>
      <c r="F267" s="292" t="str">
        <f ca="1">IF(ISERROR($S267),"",OFFSET('Smelter Reference List'!$E$4,$S267-4,0))</f>
        <v/>
      </c>
      <c r="G267" s="292" t="str">
        <f ca="1">IF(C267=$U$4,"Enter smelter details", IF(ISERROR($S267),"",OFFSET('Smelter Reference List'!$F$4,$S267-4,0)))</f>
        <v/>
      </c>
      <c r="H267" s="293" t="str">
        <f ca="1">IF(ISERROR($S267),"",OFFSET('Smelter Reference List'!$G$4,$S267-4,0))</f>
        <v/>
      </c>
      <c r="I267" s="294" t="str">
        <f ca="1">IF(ISERROR($S267),"",OFFSET('Smelter Reference List'!$H$4,$S267-4,0))</f>
        <v/>
      </c>
      <c r="J267" s="294" t="str">
        <f ca="1">IF(ISERROR($S267),"",OFFSET('Smelter Reference List'!$I$4,$S267-4,0))</f>
        <v/>
      </c>
      <c r="K267" s="295"/>
      <c r="L267" s="295"/>
      <c r="M267" s="295"/>
      <c r="N267" s="295"/>
      <c r="O267" s="295"/>
      <c r="P267" s="295"/>
      <c r="Q267" s="296"/>
      <c r="R267" s="227"/>
      <c r="S267" s="228" t="e">
        <f>IF(C267="",NA(),MATCH($B267&amp;$C267,'Smelter Reference List'!$J:$J,0))</f>
        <v>#N/A</v>
      </c>
      <c r="T267" s="229"/>
      <c r="U267" s="229">
        <f t="shared" ca="1" si="10"/>
        <v>0</v>
      </c>
      <c r="V267" s="229"/>
      <c r="W267" s="229"/>
      <c r="Y267" s="223" t="str">
        <f t="shared" si="11"/>
        <v/>
      </c>
    </row>
    <row r="268" spans="1:25" s="223" customFormat="1" ht="20.25">
      <c r="A268" s="291"/>
      <c r="B268" s="292" t="str">
        <f>IF(LEN(A268)=0,"",INDEX('Smelter Reference List'!$A:$A,MATCH($A268,'Smelter Reference List'!$E:$E,0)))</f>
        <v/>
      </c>
      <c r="C268" s="298" t="str">
        <f>IF(LEN(A268)=0,"",INDEX('Smelter Reference List'!$C:$C,MATCH($A268,'Smelter Reference List'!$E:$E,0)))</f>
        <v/>
      </c>
      <c r="D268" s="292" t="str">
        <f ca="1">IF(ISERROR($S268),"",OFFSET('Smelter Reference List'!$C$4,$S268-4,0)&amp;"")</f>
        <v/>
      </c>
      <c r="E268" s="292" t="str">
        <f ca="1">IF(ISERROR($S268),"",OFFSET('Smelter Reference List'!$D$4,$S268-4,0)&amp;"")</f>
        <v/>
      </c>
      <c r="F268" s="292" t="str">
        <f ca="1">IF(ISERROR($S268),"",OFFSET('Smelter Reference List'!$E$4,$S268-4,0))</f>
        <v/>
      </c>
      <c r="G268" s="292" t="str">
        <f ca="1">IF(C268=$U$4,"Enter smelter details", IF(ISERROR($S268),"",OFFSET('Smelter Reference List'!$F$4,$S268-4,0)))</f>
        <v/>
      </c>
      <c r="H268" s="293" t="str">
        <f ca="1">IF(ISERROR($S268),"",OFFSET('Smelter Reference List'!$G$4,$S268-4,0))</f>
        <v/>
      </c>
      <c r="I268" s="294" t="str">
        <f ca="1">IF(ISERROR($S268),"",OFFSET('Smelter Reference List'!$H$4,$S268-4,0))</f>
        <v/>
      </c>
      <c r="J268" s="294" t="str">
        <f ca="1">IF(ISERROR($S268),"",OFFSET('Smelter Reference List'!$I$4,$S268-4,0))</f>
        <v/>
      </c>
      <c r="K268" s="295"/>
      <c r="L268" s="295"/>
      <c r="M268" s="295"/>
      <c r="N268" s="295"/>
      <c r="O268" s="295"/>
      <c r="P268" s="295"/>
      <c r="Q268" s="296"/>
      <c r="R268" s="227"/>
      <c r="S268" s="228" t="e">
        <f>IF(C268="",NA(),MATCH($B268&amp;$C268,'Smelter Reference List'!$J:$J,0))</f>
        <v>#N/A</v>
      </c>
      <c r="T268" s="229"/>
      <c r="U268" s="229">
        <f t="shared" ca="1" si="10"/>
        <v>0</v>
      </c>
      <c r="V268" s="229"/>
      <c r="W268" s="229"/>
      <c r="Y268" s="223" t="str">
        <f t="shared" si="11"/>
        <v/>
      </c>
    </row>
    <row r="269" spans="1:25" s="223" customFormat="1" ht="20.25">
      <c r="A269" s="291"/>
      <c r="B269" s="292" t="str">
        <f>IF(LEN(A269)=0,"",INDEX('Smelter Reference List'!$A:$A,MATCH($A269,'Smelter Reference List'!$E:$E,0)))</f>
        <v/>
      </c>
      <c r="C269" s="298" t="str">
        <f>IF(LEN(A269)=0,"",INDEX('Smelter Reference List'!$C:$C,MATCH($A269,'Smelter Reference List'!$E:$E,0)))</f>
        <v/>
      </c>
      <c r="D269" s="292" t="str">
        <f ca="1">IF(ISERROR($S269),"",OFFSET('Smelter Reference List'!$C$4,$S269-4,0)&amp;"")</f>
        <v/>
      </c>
      <c r="E269" s="292" t="str">
        <f ca="1">IF(ISERROR($S269),"",OFFSET('Smelter Reference List'!$D$4,$S269-4,0)&amp;"")</f>
        <v/>
      </c>
      <c r="F269" s="292" t="str">
        <f ca="1">IF(ISERROR($S269),"",OFFSET('Smelter Reference List'!$E$4,$S269-4,0))</f>
        <v/>
      </c>
      <c r="G269" s="292" t="str">
        <f ca="1">IF(C269=$U$4,"Enter smelter details", IF(ISERROR($S269),"",OFFSET('Smelter Reference List'!$F$4,$S269-4,0)))</f>
        <v/>
      </c>
      <c r="H269" s="293" t="str">
        <f ca="1">IF(ISERROR($S269),"",OFFSET('Smelter Reference List'!$G$4,$S269-4,0))</f>
        <v/>
      </c>
      <c r="I269" s="294" t="str">
        <f ca="1">IF(ISERROR($S269),"",OFFSET('Smelter Reference List'!$H$4,$S269-4,0))</f>
        <v/>
      </c>
      <c r="J269" s="294" t="str">
        <f ca="1">IF(ISERROR($S269),"",OFFSET('Smelter Reference List'!$I$4,$S269-4,0))</f>
        <v/>
      </c>
      <c r="K269" s="295"/>
      <c r="L269" s="295"/>
      <c r="M269" s="295"/>
      <c r="N269" s="295"/>
      <c r="O269" s="295"/>
      <c r="P269" s="295"/>
      <c r="Q269" s="296"/>
      <c r="R269" s="227"/>
      <c r="S269" s="228" t="e">
        <f>IF(C269="",NA(),MATCH($B269&amp;$C269,'Smelter Reference List'!$J:$J,0))</f>
        <v>#N/A</v>
      </c>
      <c r="T269" s="229"/>
      <c r="U269" s="229">
        <f t="shared" ca="1" si="10"/>
        <v>0</v>
      </c>
      <c r="V269" s="229"/>
      <c r="W269" s="229"/>
      <c r="Y269" s="223" t="str">
        <f t="shared" si="11"/>
        <v/>
      </c>
    </row>
    <row r="270" spans="1:25" s="223" customFormat="1" ht="20.25">
      <c r="A270" s="291"/>
      <c r="B270" s="292" t="str">
        <f>IF(LEN(A270)=0,"",INDEX('Smelter Reference List'!$A:$A,MATCH($A270,'Smelter Reference List'!$E:$E,0)))</f>
        <v/>
      </c>
      <c r="C270" s="298" t="str">
        <f>IF(LEN(A270)=0,"",INDEX('Smelter Reference List'!$C:$C,MATCH($A270,'Smelter Reference List'!$E:$E,0)))</f>
        <v/>
      </c>
      <c r="D270" s="292" t="str">
        <f ca="1">IF(ISERROR($S270),"",OFFSET('Smelter Reference List'!$C$4,$S270-4,0)&amp;"")</f>
        <v/>
      </c>
      <c r="E270" s="292" t="str">
        <f ca="1">IF(ISERROR($S270),"",OFFSET('Smelter Reference List'!$D$4,$S270-4,0)&amp;"")</f>
        <v/>
      </c>
      <c r="F270" s="292" t="str">
        <f ca="1">IF(ISERROR($S270),"",OFFSET('Smelter Reference List'!$E$4,$S270-4,0))</f>
        <v/>
      </c>
      <c r="G270" s="292" t="str">
        <f ca="1">IF(C270=$U$4,"Enter smelter details", IF(ISERROR($S270),"",OFFSET('Smelter Reference List'!$F$4,$S270-4,0)))</f>
        <v/>
      </c>
      <c r="H270" s="293" t="str">
        <f ca="1">IF(ISERROR($S270),"",OFFSET('Smelter Reference List'!$G$4,$S270-4,0))</f>
        <v/>
      </c>
      <c r="I270" s="294" t="str">
        <f ca="1">IF(ISERROR($S270),"",OFFSET('Smelter Reference List'!$H$4,$S270-4,0))</f>
        <v/>
      </c>
      <c r="J270" s="294" t="str">
        <f ca="1">IF(ISERROR($S270),"",OFFSET('Smelter Reference List'!$I$4,$S270-4,0))</f>
        <v/>
      </c>
      <c r="K270" s="295"/>
      <c r="L270" s="295"/>
      <c r="M270" s="295"/>
      <c r="N270" s="295"/>
      <c r="O270" s="295"/>
      <c r="P270" s="295"/>
      <c r="Q270" s="296"/>
      <c r="R270" s="227"/>
      <c r="S270" s="228" t="e">
        <f>IF(C270="",NA(),MATCH($B270&amp;$C270,'Smelter Reference List'!$J:$J,0))</f>
        <v>#N/A</v>
      </c>
      <c r="T270" s="229"/>
      <c r="U270" s="229">
        <f t="shared" ca="1" si="10"/>
        <v>0</v>
      </c>
      <c r="V270" s="229"/>
      <c r="W270" s="229"/>
      <c r="Y270" s="223" t="str">
        <f t="shared" si="11"/>
        <v/>
      </c>
    </row>
    <row r="271" spans="1:25" s="223" customFormat="1" ht="20.25">
      <c r="A271" s="291"/>
      <c r="B271" s="292" t="str">
        <f>IF(LEN(A271)=0,"",INDEX('Smelter Reference List'!$A:$A,MATCH($A271,'Smelter Reference List'!$E:$E,0)))</f>
        <v/>
      </c>
      <c r="C271" s="298" t="str">
        <f>IF(LEN(A271)=0,"",INDEX('Smelter Reference List'!$C:$C,MATCH($A271,'Smelter Reference List'!$E:$E,0)))</f>
        <v/>
      </c>
      <c r="D271" s="292" t="str">
        <f ca="1">IF(ISERROR($S271),"",OFFSET('Smelter Reference List'!$C$4,$S271-4,0)&amp;"")</f>
        <v/>
      </c>
      <c r="E271" s="292" t="str">
        <f ca="1">IF(ISERROR($S271),"",OFFSET('Smelter Reference List'!$D$4,$S271-4,0)&amp;"")</f>
        <v/>
      </c>
      <c r="F271" s="292" t="str">
        <f ca="1">IF(ISERROR($S271),"",OFFSET('Smelter Reference List'!$E$4,$S271-4,0))</f>
        <v/>
      </c>
      <c r="G271" s="292" t="str">
        <f ca="1">IF(C271=$U$4,"Enter smelter details", IF(ISERROR($S271),"",OFFSET('Smelter Reference List'!$F$4,$S271-4,0)))</f>
        <v/>
      </c>
      <c r="H271" s="293" t="str">
        <f ca="1">IF(ISERROR($S271),"",OFFSET('Smelter Reference List'!$G$4,$S271-4,0))</f>
        <v/>
      </c>
      <c r="I271" s="294" t="str">
        <f ca="1">IF(ISERROR($S271),"",OFFSET('Smelter Reference List'!$H$4,$S271-4,0))</f>
        <v/>
      </c>
      <c r="J271" s="294" t="str">
        <f ca="1">IF(ISERROR($S271),"",OFFSET('Smelter Reference List'!$I$4,$S271-4,0))</f>
        <v/>
      </c>
      <c r="K271" s="295"/>
      <c r="L271" s="295"/>
      <c r="M271" s="295"/>
      <c r="N271" s="295"/>
      <c r="O271" s="295"/>
      <c r="P271" s="295"/>
      <c r="Q271" s="296"/>
      <c r="R271" s="227"/>
      <c r="S271" s="228" t="e">
        <f>IF(C271="",NA(),MATCH($B271&amp;$C271,'Smelter Reference List'!$J:$J,0))</f>
        <v>#N/A</v>
      </c>
      <c r="T271" s="229"/>
      <c r="U271" s="229">
        <f t="shared" ca="1" si="10"/>
        <v>0</v>
      </c>
      <c r="V271" s="229"/>
      <c r="W271" s="229"/>
      <c r="Y271" s="223" t="str">
        <f t="shared" si="11"/>
        <v/>
      </c>
    </row>
    <row r="272" spans="1:25" s="223" customFormat="1" ht="20.25">
      <c r="A272" s="291"/>
      <c r="B272" s="292" t="str">
        <f>IF(LEN(A272)=0,"",INDEX('Smelter Reference List'!$A:$A,MATCH($A272,'Smelter Reference List'!$E:$E,0)))</f>
        <v/>
      </c>
      <c r="C272" s="298" t="str">
        <f>IF(LEN(A272)=0,"",INDEX('Smelter Reference List'!$C:$C,MATCH($A272,'Smelter Reference List'!$E:$E,0)))</f>
        <v/>
      </c>
      <c r="D272" s="292" t="str">
        <f ca="1">IF(ISERROR($S272),"",OFFSET('Smelter Reference List'!$C$4,$S272-4,0)&amp;"")</f>
        <v/>
      </c>
      <c r="E272" s="292" t="str">
        <f ca="1">IF(ISERROR($S272),"",OFFSET('Smelter Reference List'!$D$4,$S272-4,0)&amp;"")</f>
        <v/>
      </c>
      <c r="F272" s="292" t="str">
        <f ca="1">IF(ISERROR($S272),"",OFFSET('Smelter Reference List'!$E$4,$S272-4,0))</f>
        <v/>
      </c>
      <c r="G272" s="292" t="str">
        <f ca="1">IF(C272=$U$4,"Enter smelter details", IF(ISERROR($S272),"",OFFSET('Smelter Reference List'!$F$4,$S272-4,0)))</f>
        <v/>
      </c>
      <c r="H272" s="293" t="str">
        <f ca="1">IF(ISERROR($S272),"",OFFSET('Smelter Reference List'!$G$4,$S272-4,0))</f>
        <v/>
      </c>
      <c r="I272" s="294" t="str">
        <f ca="1">IF(ISERROR($S272),"",OFFSET('Smelter Reference List'!$H$4,$S272-4,0))</f>
        <v/>
      </c>
      <c r="J272" s="294" t="str">
        <f ca="1">IF(ISERROR($S272),"",OFFSET('Smelter Reference List'!$I$4,$S272-4,0))</f>
        <v/>
      </c>
      <c r="K272" s="295"/>
      <c r="L272" s="295"/>
      <c r="M272" s="295"/>
      <c r="N272" s="295"/>
      <c r="O272" s="295"/>
      <c r="P272" s="295"/>
      <c r="Q272" s="296"/>
      <c r="R272" s="227"/>
      <c r="S272" s="228" t="e">
        <f>IF(C272="",NA(),MATCH($B272&amp;$C272,'Smelter Reference List'!$J:$J,0))</f>
        <v>#N/A</v>
      </c>
      <c r="T272" s="229"/>
      <c r="U272" s="229">
        <f t="shared" ca="1" si="10"/>
        <v>0</v>
      </c>
      <c r="V272" s="229"/>
      <c r="W272" s="229"/>
      <c r="Y272" s="223" t="str">
        <f t="shared" si="11"/>
        <v/>
      </c>
    </row>
    <row r="273" spans="1:25" s="223" customFormat="1" ht="20.25">
      <c r="A273" s="291"/>
      <c r="B273" s="292" t="str">
        <f>IF(LEN(A273)=0,"",INDEX('Smelter Reference List'!$A:$A,MATCH($A273,'Smelter Reference List'!$E:$E,0)))</f>
        <v/>
      </c>
      <c r="C273" s="298" t="str">
        <f>IF(LEN(A273)=0,"",INDEX('Smelter Reference List'!$C:$C,MATCH($A273,'Smelter Reference List'!$E:$E,0)))</f>
        <v/>
      </c>
      <c r="D273" s="292" t="str">
        <f ca="1">IF(ISERROR($S273),"",OFFSET('Smelter Reference List'!$C$4,$S273-4,0)&amp;"")</f>
        <v/>
      </c>
      <c r="E273" s="292" t="str">
        <f ca="1">IF(ISERROR($S273),"",OFFSET('Smelter Reference List'!$D$4,$S273-4,0)&amp;"")</f>
        <v/>
      </c>
      <c r="F273" s="292" t="str">
        <f ca="1">IF(ISERROR($S273),"",OFFSET('Smelter Reference List'!$E$4,$S273-4,0))</f>
        <v/>
      </c>
      <c r="G273" s="292" t="str">
        <f ca="1">IF(C273=$U$4,"Enter smelter details", IF(ISERROR($S273),"",OFFSET('Smelter Reference List'!$F$4,$S273-4,0)))</f>
        <v/>
      </c>
      <c r="H273" s="293" t="str">
        <f ca="1">IF(ISERROR($S273),"",OFFSET('Smelter Reference List'!$G$4,$S273-4,0))</f>
        <v/>
      </c>
      <c r="I273" s="294" t="str">
        <f ca="1">IF(ISERROR($S273),"",OFFSET('Smelter Reference List'!$H$4,$S273-4,0))</f>
        <v/>
      </c>
      <c r="J273" s="294" t="str">
        <f ca="1">IF(ISERROR($S273),"",OFFSET('Smelter Reference List'!$I$4,$S273-4,0))</f>
        <v/>
      </c>
      <c r="K273" s="295"/>
      <c r="L273" s="295"/>
      <c r="M273" s="295"/>
      <c r="N273" s="295"/>
      <c r="O273" s="295"/>
      <c r="P273" s="295"/>
      <c r="Q273" s="296"/>
      <c r="R273" s="227"/>
      <c r="S273" s="228" t="e">
        <f>IF(C273="",NA(),MATCH($B273&amp;$C273,'Smelter Reference List'!$J:$J,0))</f>
        <v>#N/A</v>
      </c>
      <c r="T273" s="229"/>
      <c r="U273" s="229">
        <f t="shared" ca="1" si="10"/>
        <v>0</v>
      </c>
      <c r="V273" s="229"/>
      <c r="W273" s="229"/>
      <c r="Y273" s="223" t="str">
        <f t="shared" si="11"/>
        <v/>
      </c>
    </row>
    <row r="274" spans="1:25" s="223" customFormat="1" ht="20.25">
      <c r="A274" s="291"/>
      <c r="B274" s="292" t="str">
        <f>IF(LEN(A274)=0,"",INDEX('Smelter Reference List'!$A:$A,MATCH($A274,'Smelter Reference List'!$E:$E,0)))</f>
        <v/>
      </c>
      <c r="C274" s="298" t="str">
        <f>IF(LEN(A274)=0,"",INDEX('Smelter Reference List'!$C:$C,MATCH($A274,'Smelter Reference List'!$E:$E,0)))</f>
        <v/>
      </c>
      <c r="D274" s="292" t="str">
        <f ca="1">IF(ISERROR($S274),"",OFFSET('Smelter Reference List'!$C$4,$S274-4,0)&amp;"")</f>
        <v/>
      </c>
      <c r="E274" s="292" t="str">
        <f ca="1">IF(ISERROR($S274),"",OFFSET('Smelter Reference List'!$D$4,$S274-4,0)&amp;"")</f>
        <v/>
      </c>
      <c r="F274" s="292" t="str">
        <f ca="1">IF(ISERROR($S274),"",OFFSET('Smelter Reference List'!$E$4,$S274-4,0))</f>
        <v/>
      </c>
      <c r="G274" s="292" t="str">
        <f ca="1">IF(C274=$U$4,"Enter smelter details", IF(ISERROR($S274),"",OFFSET('Smelter Reference List'!$F$4,$S274-4,0)))</f>
        <v/>
      </c>
      <c r="H274" s="293" t="str">
        <f ca="1">IF(ISERROR($S274),"",OFFSET('Smelter Reference List'!$G$4,$S274-4,0))</f>
        <v/>
      </c>
      <c r="I274" s="294" t="str">
        <f ca="1">IF(ISERROR($S274),"",OFFSET('Smelter Reference List'!$H$4,$S274-4,0))</f>
        <v/>
      </c>
      <c r="J274" s="294" t="str">
        <f ca="1">IF(ISERROR($S274),"",OFFSET('Smelter Reference List'!$I$4,$S274-4,0))</f>
        <v/>
      </c>
      <c r="K274" s="295"/>
      <c r="L274" s="295"/>
      <c r="M274" s="295"/>
      <c r="N274" s="295"/>
      <c r="O274" s="295"/>
      <c r="P274" s="295"/>
      <c r="Q274" s="296"/>
      <c r="R274" s="227"/>
      <c r="S274" s="228" t="e">
        <f>IF(C274="",NA(),MATCH($B274&amp;$C274,'Smelter Reference List'!$J:$J,0))</f>
        <v>#N/A</v>
      </c>
      <c r="T274" s="229"/>
      <c r="U274" s="229">
        <f t="shared" ca="1" si="10"/>
        <v>0</v>
      </c>
      <c r="V274" s="229"/>
      <c r="W274" s="229"/>
      <c r="Y274" s="223" t="str">
        <f t="shared" si="11"/>
        <v/>
      </c>
    </row>
    <row r="275" spans="1:25" s="223" customFormat="1" ht="20.25">
      <c r="A275" s="291"/>
      <c r="B275" s="292" t="str">
        <f>IF(LEN(A275)=0,"",INDEX('Smelter Reference List'!$A:$A,MATCH($A275,'Smelter Reference List'!$E:$E,0)))</f>
        <v/>
      </c>
      <c r="C275" s="298" t="str">
        <f>IF(LEN(A275)=0,"",INDEX('Smelter Reference List'!$C:$C,MATCH($A275,'Smelter Reference List'!$E:$E,0)))</f>
        <v/>
      </c>
      <c r="D275" s="292" t="str">
        <f ca="1">IF(ISERROR($S275),"",OFFSET('Smelter Reference List'!$C$4,$S275-4,0)&amp;"")</f>
        <v/>
      </c>
      <c r="E275" s="292" t="str">
        <f ca="1">IF(ISERROR($S275),"",OFFSET('Smelter Reference List'!$D$4,$S275-4,0)&amp;"")</f>
        <v/>
      </c>
      <c r="F275" s="292" t="str">
        <f ca="1">IF(ISERROR($S275),"",OFFSET('Smelter Reference List'!$E$4,$S275-4,0))</f>
        <v/>
      </c>
      <c r="G275" s="292" t="str">
        <f ca="1">IF(C275=$U$4,"Enter smelter details", IF(ISERROR($S275),"",OFFSET('Smelter Reference List'!$F$4,$S275-4,0)))</f>
        <v/>
      </c>
      <c r="H275" s="293" t="str">
        <f ca="1">IF(ISERROR($S275),"",OFFSET('Smelter Reference List'!$G$4,$S275-4,0))</f>
        <v/>
      </c>
      <c r="I275" s="294" t="str">
        <f ca="1">IF(ISERROR($S275),"",OFFSET('Smelter Reference List'!$H$4,$S275-4,0))</f>
        <v/>
      </c>
      <c r="J275" s="294" t="str">
        <f ca="1">IF(ISERROR($S275),"",OFFSET('Smelter Reference List'!$I$4,$S275-4,0))</f>
        <v/>
      </c>
      <c r="K275" s="295"/>
      <c r="L275" s="295"/>
      <c r="M275" s="295"/>
      <c r="N275" s="295"/>
      <c r="O275" s="295"/>
      <c r="P275" s="295"/>
      <c r="Q275" s="296"/>
      <c r="R275" s="227"/>
      <c r="S275" s="228" t="e">
        <f>IF(C275="",NA(),MATCH($B275&amp;$C275,'Smelter Reference List'!$J:$J,0))</f>
        <v>#N/A</v>
      </c>
      <c r="T275" s="229"/>
      <c r="U275" s="229">
        <f t="shared" ca="1" si="10"/>
        <v>0</v>
      </c>
      <c r="V275" s="229"/>
      <c r="W275" s="229"/>
      <c r="Y275" s="223" t="str">
        <f t="shared" si="11"/>
        <v/>
      </c>
    </row>
    <row r="276" spans="1:25" s="223" customFormat="1" ht="20.25">
      <c r="A276" s="291"/>
      <c r="B276" s="292" t="str">
        <f>IF(LEN(A276)=0,"",INDEX('Smelter Reference List'!$A:$A,MATCH($A276,'Smelter Reference List'!$E:$E,0)))</f>
        <v/>
      </c>
      <c r="C276" s="298" t="str">
        <f>IF(LEN(A276)=0,"",INDEX('Smelter Reference List'!$C:$C,MATCH($A276,'Smelter Reference List'!$E:$E,0)))</f>
        <v/>
      </c>
      <c r="D276" s="292" t="str">
        <f ca="1">IF(ISERROR($S276),"",OFFSET('Smelter Reference List'!$C$4,$S276-4,0)&amp;"")</f>
        <v/>
      </c>
      <c r="E276" s="292" t="str">
        <f ca="1">IF(ISERROR($S276),"",OFFSET('Smelter Reference List'!$D$4,$S276-4,0)&amp;"")</f>
        <v/>
      </c>
      <c r="F276" s="292" t="str">
        <f ca="1">IF(ISERROR($S276),"",OFFSET('Smelter Reference List'!$E$4,$S276-4,0))</f>
        <v/>
      </c>
      <c r="G276" s="292" t="str">
        <f ca="1">IF(C276=$U$4,"Enter smelter details", IF(ISERROR($S276),"",OFFSET('Smelter Reference List'!$F$4,$S276-4,0)))</f>
        <v/>
      </c>
      <c r="H276" s="293" t="str">
        <f ca="1">IF(ISERROR($S276),"",OFFSET('Smelter Reference List'!$G$4,$S276-4,0))</f>
        <v/>
      </c>
      <c r="I276" s="294" t="str">
        <f ca="1">IF(ISERROR($S276),"",OFFSET('Smelter Reference List'!$H$4,$S276-4,0))</f>
        <v/>
      </c>
      <c r="J276" s="294" t="str">
        <f ca="1">IF(ISERROR($S276),"",OFFSET('Smelter Reference List'!$I$4,$S276-4,0))</f>
        <v/>
      </c>
      <c r="K276" s="295"/>
      <c r="L276" s="295"/>
      <c r="M276" s="295"/>
      <c r="N276" s="295"/>
      <c r="O276" s="295"/>
      <c r="P276" s="295"/>
      <c r="Q276" s="296"/>
      <c r="R276" s="227"/>
      <c r="S276" s="228" t="e">
        <f>IF(C276="",NA(),MATCH($B276&amp;$C276,'Smelter Reference List'!$J:$J,0))</f>
        <v>#N/A</v>
      </c>
      <c r="T276" s="229"/>
      <c r="U276" s="229">
        <f t="shared" ca="1" si="10"/>
        <v>0</v>
      </c>
      <c r="V276" s="229"/>
      <c r="W276" s="229"/>
      <c r="Y276" s="223" t="str">
        <f t="shared" si="11"/>
        <v/>
      </c>
    </row>
    <row r="277" spans="1:25" s="223" customFormat="1" ht="20.25">
      <c r="A277" s="291"/>
      <c r="B277" s="292" t="str">
        <f>IF(LEN(A277)=0,"",INDEX('Smelter Reference List'!$A:$A,MATCH($A277,'Smelter Reference List'!$E:$E,0)))</f>
        <v/>
      </c>
      <c r="C277" s="298" t="str">
        <f>IF(LEN(A277)=0,"",INDEX('Smelter Reference List'!$C:$C,MATCH($A277,'Smelter Reference List'!$E:$E,0)))</f>
        <v/>
      </c>
      <c r="D277" s="292" t="str">
        <f ca="1">IF(ISERROR($S277),"",OFFSET('Smelter Reference List'!$C$4,$S277-4,0)&amp;"")</f>
        <v/>
      </c>
      <c r="E277" s="292" t="str">
        <f ca="1">IF(ISERROR($S277),"",OFFSET('Smelter Reference List'!$D$4,$S277-4,0)&amp;"")</f>
        <v/>
      </c>
      <c r="F277" s="292" t="str">
        <f ca="1">IF(ISERROR($S277),"",OFFSET('Smelter Reference List'!$E$4,$S277-4,0))</f>
        <v/>
      </c>
      <c r="G277" s="292" t="str">
        <f ca="1">IF(C277=$U$4,"Enter smelter details", IF(ISERROR($S277),"",OFFSET('Smelter Reference List'!$F$4,$S277-4,0)))</f>
        <v/>
      </c>
      <c r="H277" s="293" t="str">
        <f ca="1">IF(ISERROR($S277),"",OFFSET('Smelter Reference List'!$G$4,$S277-4,0))</f>
        <v/>
      </c>
      <c r="I277" s="294" t="str">
        <f ca="1">IF(ISERROR($S277),"",OFFSET('Smelter Reference List'!$H$4,$S277-4,0))</f>
        <v/>
      </c>
      <c r="J277" s="294" t="str">
        <f ca="1">IF(ISERROR($S277),"",OFFSET('Smelter Reference List'!$I$4,$S277-4,0))</f>
        <v/>
      </c>
      <c r="K277" s="295"/>
      <c r="L277" s="295"/>
      <c r="M277" s="295"/>
      <c r="N277" s="295"/>
      <c r="O277" s="295"/>
      <c r="P277" s="295"/>
      <c r="Q277" s="296"/>
      <c r="R277" s="227"/>
      <c r="S277" s="228" t="e">
        <f>IF(C277="",NA(),MATCH($B277&amp;$C277,'Smelter Reference List'!$J:$J,0))</f>
        <v>#N/A</v>
      </c>
      <c r="T277" s="229"/>
      <c r="U277" s="229">
        <f t="shared" ca="1" si="10"/>
        <v>0</v>
      </c>
      <c r="V277" s="229"/>
      <c r="W277" s="229"/>
      <c r="Y277" s="223" t="str">
        <f t="shared" si="11"/>
        <v/>
      </c>
    </row>
    <row r="278" spans="1:25" s="223" customFormat="1" ht="20.25">
      <c r="A278" s="291"/>
      <c r="B278" s="292" t="str">
        <f>IF(LEN(A278)=0,"",INDEX('Smelter Reference List'!$A:$A,MATCH($A278,'Smelter Reference List'!$E:$E,0)))</f>
        <v/>
      </c>
      <c r="C278" s="298" t="str">
        <f>IF(LEN(A278)=0,"",INDEX('Smelter Reference List'!$C:$C,MATCH($A278,'Smelter Reference List'!$E:$E,0)))</f>
        <v/>
      </c>
      <c r="D278" s="292" t="str">
        <f ca="1">IF(ISERROR($S278),"",OFFSET('Smelter Reference List'!$C$4,$S278-4,0)&amp;"")</f>
        <v/>
      </c>
      <c r="E278" s="292" t="str">
        <f ca="1">IF(ISERROR($S278),"",OFFSET('Smelter Reference List'!$D$4,$S278-4,0)&amp;"")</f>
        <v/>
      </c>
      <c r="F278" s="292" t="str">
        <f ca="1">IF(ISERROR($S278),"",OFFSET('Smelter Reference List'!$E$4,$S278-4,0))</f>
        <v/>
      </c>
      <c r="G278" s="292" t="str">
        <f ca="1">IF(C278=$U$4,"Enter smelter details", IF(ISERROR($S278),"",OFFSET('Smelter Reference List'!$F$4,$S278-4,0)))</f>
        <v/>
      </c>
      <c r="H278" s="293" t="str">
        <f ca="1">IF(ISERROR($S278),"",OFFSET('Smelter Reference List'!$G$4,$S278-4,0))</f>
        <v/>
      </c>
      <c r="I278" s="294" t="str">
        <f ca="1">IF(ISERROR($S278),"",OFFSET('Smelter Reference List'!$H$4,$S278-4,0))</f>
        <v/>
      </c>
      <c r="J278" s="294" t="str">
        <f ca="1">IF(ISERROR($S278),"",OFFSET('Smelter Reference List'!$I$4,$S278-4,0))</f>
        <v/>
      </c>
      <c r="K278" s="295"/>
      <c r="L278" s="295"/>
      <c r="M278" s="295"/>
      <c r="N278" s="295"/>
      <c r="O278" s="295"/>
      <c r="P278" s="295"/>
      <c r="Q278" s="296"/>
      <c r="R278" s="227"/>
      <c r="S278" s="228" t="e">
        <f>IF(C278="",NA(),MATCH($B278&amp;$C278,'Smelter Reference List'!$J:$J,0))</f>
        <v>#N/A</v>
      </c>
      <c r="T278" s="229"/>
      <c r="U278" s="229">
        <f t="shared" ca="1" si="10"/>
        <v>0</v>
      </c>
      <c r="V278" s="229"/>
      <c r="W278" s="229"/>
      <c r="Y278" s="223" t="str">
        <f t="shared" si="11"/>
        <v/>
      </c>
    </row>
    <row r="279" spans="1:25" s="223" customFormat="1" ht="20.25">
      <c r="A279" s="291"/>
      <c r="B279" s="292" t="str">
        <f>IF(LEN(A279)=0,"",INDEX('Smelter Reference List'!$A:$A,MATCH($A279,'Smelter Reference List'!$E:$E,0)))</f>
        <v/>
      </c>
      <c r="C279" s="298" t="str">
        <f>IF(LEN(A279)=0,"",INDEX('Smelter Reference List'!$C:$C,MATCH($A279,'Smelter Reference List'!$E:$E,0)))</f>
        <v/>
      </c>
      <c r="D279" s="292" t="str">
        <f ca="1">IF(ISERROR($S279),"",OFFSET('Smelter Reference List'!$C$4,$S279-4,0)&amp;"")</f>
        <v/>
      </c>
      <c r="E279" s="292" t="str">
        <f ca="1">IF(ISERROR($S279),"",OFFSET('Smelter Reference List'!$D$4,$S279-4,0)&amp;"")</f>
        <v/>
      </c>
      <c r="F279" s="292" t="str">
        <f ca="1">IF(ISERROR($S279),"",OFFSET('Smelter Reference List'!$E$4,$S279-4,0))</f>
        <v/>
      </c>
      <c r="G279" s="292" t="str">
        <f ca="1">IF(C279=$U$4,"Enter smelter details", IF(ISERROR($S279),"",OFFSET('Smelter Reference List'!$F$4,$S279-4,0)))</f>
        <v/>
      </c>
      <c r="H279" s="293" t="str">
        <f ca="1">IF(ISERROR($S279),"",OFFSET('Smelter Reference List'!$G$4,$S279-4,0))</f>
        <v/>
      </c>
      <c r="I279" s="294" t="str">
        <f ca="1">IF(ISERROR($S279),"",OFFSET('Smelter Reference List'!$H$4,$S279-4,0))</f>
        <v/>
      </c>
      <c r="J279" s="294" t="str">
        <f ca="1">IF(ISERROR($S279),"",OFFSET('Smelter Reference List'!$I$4,$S279-4,0))</f>
        <v/>
      </c>
      <c r="K279" s="295"/>
      <c r="L279" s="295"/>
      <c r="M279" s="295"/>
      <c r="N279" s="295"/>
      <c r="O279" s="295"/>
      <c r="P279" s="295"/>
      <c r="Q279" s="296"/>
      <c r="R279" s="227"/>
      <c r="S279" s="228" t="e">
        <f>IF(C279="",NA(),MATCH($B279&amp;$C279,'Smelter Reference List'!$J:$J,0))</f>
        <v>#N/A</v>
      </c>
      <c r="T279" s="229"/>
      <c r="U279" s="229">
        <f t="shared" ca="1" si="10"/>
        <v>0</v>
      </c>
      <c r="V279" s="229"/>
      <c r="W279" s="229"/>
      <c r="Y279" s="223" t="str">
        <f t="shared" si="11"/>
        <v/>
      </c>
    </row>
    <row r="280" spans="1:25" s="223" customFormat="1" ht="20.25">
      <c r="A280" s="291"/>
      <c r="B280" s="292" t="str">
        <f>IF(LEN(A280)=0,"",INDEX('Smelter Reference List'!$A:$A,MATCH($A280,'Smelter Reference List'!$E:$E,0)))</f>
        <v/>
      </c>
      <c r="C280" s="298" t="str">
        <f>IF(LEN(A280)=0,"",INDEX('Smelter Reference List'!$C:$C,MATCH($A280,'Smelter Reference List'!$E:$E,0)))</f>
        <v/>
      </c>
      <c r="D280" s="292" t="str">
        <f ca="1">IF(ISERROR($S280),"",OFFSET('Smelter Reference List'!$C$4,$S280-4,0)&amp;"")</f>
        <v/>
      </c>
      <c r="E280" s="292" t="str">
        <f ca="1">IF(ISERROR($S280),"",OFFSET('Smelter Reference List'!$D$4,$S280-4,0)&amp;"")</f>
        <v/>
      </c>
      <c r="F280" s="292" t="str">
        <f ca="1">IF(ISERROR($S280),"",OFFSET('Smelter Reference List'!$E$4,$S280-4,0))</f>
        <v/>
      </c>
      <c r="G280" s="292" t="str">
        <f ca="1">IF(C280=$U$4,"Enter smelter details", IF(ISERROR($S280),"",OFFSET('Smelter Reference List'!$F$4,$S280-4,0)))</f>
        <v/>
      </c>
      <c r="H280" s="293" t="str">
        <f ca="1">IF(ISERROR($S280),"",OFFSET('Smelter Reference List'!$G$4,$S280-4,0))</f>
        <v/>
      </c>
      <c r="I280" s="294" t="str">
        <f ca="1">IF(ISERROR($S280),"",OFFSET('Smelter Reference List'!$H$4,$S280-4,0))</f>
        <v/>
      </c>
      <c r="J280" s="294" t="str">
        <f ca="1">IF(ISERROR($S280),"",OFFSET('Smelter Reference List'!$I$4,$S280-4,0))</f>
        <v/>
      </c>
      <c r="K280" s="295"/>
      <c r="L280" s="295"/>
      <c r="M280" s="295"/>
      <c r="N280" s="295"/>
      <c r="O280" s="295"/>
      <c r="P280" s="295"/>
      <c r="Q280" s="296"/>
      <c r="R280" s="227"/>
      <c r="S280" s="228" t="e">
        <f>IF(C280="",NA(),MATCH($B280&amp;$C280,'Smelter Reference List'!$J:$J,0))</f>
        <v>#N/A</v>
      </c>
      <c r="T280" s="229"/>
      <c r="U280" s="229">
        <f t="shared" ca="1" si="10"/>
        <v>0</v>
      </c>
      <c r="V280" s="229"/>
      <c r="W280" s="229"/>
      <c r="Y280" s="223" t="str">
        <f t="shared" si="11"/>
        <v/>
      </c>
    </row>
    <row r="281" spans="1:25" s="223" customFormat="1" ht="20.25">
      <c r="A281" s="291"/>
      <c r="B281" s="292" t="str">
        <f>IF(LEN(A281)=0,"",INDEX('Smelter Reference List'!$A:$A,MATCH($A281,'Smelter Reference List'!$E:$E,0)))</f>
        <v/>
      </c>
      <c r="C281" s="298" t="str">
        <f>IF(LEN(A281)=0,"",INDEX('Smelter Reference List'!$C:$C,MATCH($A281,'Smelter Reference List'!$E:$E,0)))</f>
        <v/>
      </c>
      <c r="D281" s="292" t="str">
        <f ca="1">IF(ISERROR($S281),"",OFFSET('Smelter Reference List'!$C$4,$S281-4,0)&amp;"")</f>
        <v/>
      </c>
      <c r="E281" s="292" t="str">
        <f ca="1">IF(ISERROR($S281),"",OFFSET('Smelter Reference List'!$D$4,$S281-4,0)&amp;"")</f>
        <v/>
      </c>
      <c r="F281" s="292" t="str">
        <f ca="1">IF(ISERROR($S281),"",OFFSET('Smelter Reference List'!$E$4,$S281-4,0))</f>
        <v/>
      </c>
      <c r="G281" s="292" t="str">
        <f ca="1">IF(C281=$U$4,"Enter smelter details", IF(ISERROR($S281),"",OFFSET('Smelter Reference List'!$F$4,$S281-4,0)))</f>
        <v/>
      </c>
      <c r="H281" s="293" t="str">
        <f ca="1">IF(ISERROR($S281),"",OFFSET('Smelter Reference List'!$G$4,$S281-4,0))</f>
        <v/>
      </c>
      <c r="I281" s="294" t="str">
        <f ca="1">IF(ISERROR($S281),"",OFFSET('Smelter Reference List'!$H$4,$S281-4,0))</f>
        <v/>
      </c>
      <c r="J281" s="294" t="str">
        <f ca="1">IF(ISERROR($S281),"",OFFSET('Smelter Reference List'!$I$4,$S281-4,0))</f>
        <v/>
      </c>
      <c r="K281" s="295"/>
      <c r="L281" s="295"/>
      <c r="M281" s="295"/>
      <c r="N281" s="295"/>
      <c r="O281" s="295"/>
      <c r="P281" s="295"/>
      <c r="Q281" s="296"/>
      <c r="R281" s="227"/>
      <c r="S281" s="228" t="e">
        <f>IF(C281="",NA(),MATCH($B281&amp;$C281,'Smelter Reference List'!$J:$J,0))</f>
        <v>#N/A</v>
      </c>
      <c r="T281" s="229"/>
      <c r="U281" s="229">
        <f t="shared" ca="1" si="10"/>
        <v>0</v>
      </c>
      <c r="V281" s="229"/>
      <c r="W281" s="229"/>
      <c r="Y281" s="223" t="str">
        <f t="shared" si="11"/>
        <v/>
      </c>
    </row>
    <row r="282" spans="1:25" s="223" customFormat="1" ht="20.25">
      <c r="A282" s="291"/>
      <c r="B282" s="292" t="str">
        <f>IF(LEN(A282)=0,"",INDEX('Smelter Reference List'!$A:$A,MATCH($A282,'Smelter Reference List'!$E:$E,0)))</f>
        <v/>
      </c>
      <c r="C282" s="298" t="str">
        <f>IF(LEN(A282)=0,"",INDEX('Smelter Reference List'!$C:$C,MATCH($A282,'Smelter Reference List'!$E:$E,0)))</f>
        <v/>
      </c>
      <c r="D282" s="292" t="str">
        <f ca="1">IF(ISERROR($S282),"",OFFSET('Smelter Reference List'!$C$4,$S282-4,0)&amp;"")</f>
        <v/>
      </c>
      <c r="E282" s="292" t="str">
        <f ca="1">IF(ISERROR($S282),"",OFFSET('Smelter Reference List'!$D$4,$S282-4,0)&amp;"")</f>
        <v/>
      </c>
      <c r="F282" s="292" t="str">
        <f ca="1">IF(ISERROR($S282),"",OFFSET('Smelter Reference List'!$E$4,$S282-4,0))</f>
        <v/>
      </c>
      <c r="G282" s="292" t="str">
        <f ca="1">IF(C282=$U$4,"Enter smelter details", IF(ISERROR($S282),"",OFFSET('Smelter Reference List'!$F$4,$S282-4,0)))</f>
        <v/>
      </c>
      <c r="H282" s="293" t="str">
        <f ca="1">IF(ISERROR($S282),"",OFFSET('Smelter Reference List'!$G$4,$S282-4,0))</f>
        <v/>
      </c>
      <c r="I282" s="294" t="str">
        <f ca="1">IF(ISERROR($S282),"",OFFSET('Smelter Reference List'!$H$4,$S282-4,0))</f>
        <v/>
      </c>
      <c r="J282" s="294" t="str">
        <f ca="1">IF(ISERROR($S282),"",OFFSET('Smelter Reference List'!$I$4,$S282-4,0))</f>
        <v/>
      </c>
      <c r="K282" s="295"/>
      <c r="L282" s="295"/>
      <c r="M282" s="295"/>
      <c r="N282" s="295"/>
      <c r="O282" s="295"/>
      <c r="P282" s="295"/>
      <c r="Q282" s="296"/>
      <c r="R282" s="227"/>
      <c r="S282" s="228" t="e">
        <f>IF(C282="",NA(),MATCH($B282&amp;$C282,'Smelter Reference List'!$J:$J,0))</f>
        <v>#N/A</v>
      </c>
      <c r="T282" s="229"/>
      <c r="U282" s="229">
        <f t="shared" ca="1" si="10"/>
        <v>0</v>
      </c>
      <c r="V282" s="229"/>
      <c r="W282" s="229"/>
      <c r="Y282" s="223" t="str">
        <f t="shared" si="11"/>
        <v/>
      </c>
    </row>
    <row r="283" spans="1:25" s="223" customFormat="1" ht="20.25">
      <c r="A283" s="291"/>
      <c r="B283" s="292" t="str">
        <f>IF(LEN(A283)=0,"",INDEX('Smelter Reference List'!$A:$A,MATCH($A283,'Smelter Reference List'!$E:$E,0)))</f>
        <v/>
      </c>
      <c r="C283" s="298" t="str">
        <f>IF(LEN(A283)=0,"",INDEX('Smelter Reference List'!$C:$C,MATCH($A283,'Smelter Reference List'!$E:$E,0)))</f>
        <v/>
      </c>
      <c r="D283" s="292" t="str">
        <f ca="1">IF(ISERROR($S283),"",OFFSET('Smelter Reference List'!$C$4,$S283-4,0)&amp;"")</f>
        <v/>
      </c>
      <c r="E283" s="292" t="str">
        <f ca="1">IF(ISERROR($S283),"",OFFSET('Smelter Reference List'!$D$4,$S283-4,0)&amp;"")</f>
        <v/>
      </c>
      <c r="F283" s="292" t="str">
        <f ca="1">IF(ISERROR($S283),"",OFFSET('Smelter Reference List'!$E$4,$S283-4,0))</f>
        <v/>
      </c>
      <c r="G283" s="292" t="str">
        <f ca="1">IF(C283=$U$4,"Enter smelter details", IF(ISERROR($S283),"",OFFSET('Smelter Reference List'!$F$4,$S283-4,0)))</f>
        <v/>
      </c>
      <c r="H283" s="293" t="str">
        <f ca="1">IF(ISERROR($S283),"",OFFSET('Smelter Reference List'!$G$4,$S283-4,0))</f>
        <v/>
      </c>
      <c r="I283" s="294" t="str">
        <f ca="1">IF(ISERROR($S283),"",OFFSET('Smelter Reference List'!$H$4,$S283-4,0))</f>
        <v/>
      </c>
      <c r="J283" s="294" t="str">
        <f ca="1">IF(ISERROR($S283),"",OFFSET('Smelter Reference List'!$I$4,$S283-4,0))</f>
        <v/>
      </c>
      <c r="K283" s="295"/>
      <c r="L283" s="295"/>
      <c r="M283" s="295"/>
      <c r="N283" s="295"/>
      <c r="O283" s="295"/>
      <c r="P283" s="295"/>
      <c r="Q283" s="296"/>
      <c r="R283" s="227"/>
      <c r="S283" s="228" t="e">
        <f>IF(C283="",NA(),MATCH($B283&amp;$C283,'Smelter Reference List'!$J:$J,0))</f>
        <v>#N/A</v>
      </c>
      <c r="T283" s="229"/>
      <c r="U283" s="229">
        <f t="shared" ca="1" si="10"/>
        <v>0</v>
      </c>
      <c r="V283" s="229"/>
      <c r="W283" s="229"/>
      <c r="Y283" s="223" t="str">
        <f t="shared" si="11"/>
        <v/>
      </c>
    </row>
    <row r="284" spans="1:25" s="223" customFormat="1" ht="20.25">
      <c r="A284" s="291"/>
      <c r="B284" s="292" t="str">
        <f>IF(LEN(A284)=0,"",INDEX('Smelter Reference List'!$A:$A,MATCH($A284,'Smelter Reference List'!$E:$E,0)))</f>
        <v/>
      </c>
      <c r="C284" s="298" t="str">
        <f>IF(LEN(A284)=0,"",INDEX('Smelter Reference List'!$C:$C,MATCH($A284,'Smelter Reference List'!$E:$E,0)))</f>
        <v/>
      </c>
      <c r="D284" s="292" t="str">
        <f ca="1">IF(ISERROR($S284),"",OFFSET('Smelter Reference List'!$C$4,$S284-4,0)&amp;"")</f>
        <v/>
      </c>
      <c r="E284" s="292" t="str">
        <f ca="1">IF(ISERROR($S284),"",OFFSET('Smelter Reference List'!$D$4,$S284-4,0)&amp;"")</f>
        <v/>
      </c>
      <c r="F284" s="292" t="str">
        <f ca="1">IF(ISERROR($S284),"",OFFSET('Smelter Reference List'!$E$4,$S284-4,0))</f>
        <v/>
      </c>
      <c r="G284" s="292" t="str">
        <f ca="1">IF(C284=$U$4,"Enter smelter details", IF(ISERROR($S284),"",OFFSET('Smelter Reference List'!$F$4,$S284-4,0)))</f>
        <v/>
      </c>
      <c r="H284" s="293" t="str">
        <f ca="1">IF(ISERROR($S284),"",OFFSET('Smelter Reference List'!$G$4,$S284-4,0))</f>
        <v/>
      </c>
      <c r="I284" s="294" t="str">
        <f ca="1">IF(ISERROR($S284),"",OFFSET('Smelter Reference List'!$H$4,$S284-4,0))</f>
        <v/>
      </c>
      <c r="J284" s="294" t="str">
        <f ca="1">IF(ISERROR($S284),"",OFFSET('Smelter Reference List'!$I$4,$S284-4,0))</f>
        <v/>
      </c>
      <c r="K284" s="295"/>
      <c r="L284" s="295"/>
      <c r="M284" s="295"/>
      <c r="N284" s="295"/>
      <c r="O284" s="295"/>
      <c r="P284" s="295"/>
      <c r="Q284" s="296"/>
      <c r="R284" s="227"/>
      <c r="S284" s="228" t="e">
        <f>IF(C284="",NA(),MATCH($B284&amp;$C284,'Smelter Reference List'!$J:$J,0))</f>
        <v>#N/A</v>
      </c>
      <c r="T284" s="229"/>
      <c r="U284" s="229">
        <f t="shared" ca="1" si="10"/>
        <v>0</v>
      </c>
      <c r="V284" s="229"/>
      <c r="W284" s="229"/>
      <c r="Y284" s="223" t="str">
        <f t="shared" si="11"/>
        <v/>
      </c>
    </row>
    <row r="285" spans="1:25" s="223" customFormat="1" ht="20.25">
      <c r="A285" s="291"/>
      <c r="B285" s="292" t="str">
        <f>IF(LEN(A285)=0,"",INDEX('Smelter Reference List'!$A:$A,MATCH($A285,'Smelter Reference List'!$E:$E,0)))</f>
        <v/>
      </c>
      <c r="C285" s="298" t="str">
        <f>IF(LEN(A285)=0,"",INDEX('Smelter Reference List'!$C:$C,MATCH($A285,'Smelter Reference List'!$E:$E,0)))</f>
        <v/>
      </c>
      <c r="D285" s="292" t="str">
        <f ca="1">IF(ISERROR($S285),"",OFFSET('Smelter Reference List'!$C$4,$S285-4,0)&amp;"")</f>
        <v/>
      </c>
      <c r="E285" s="292" t="str">
        <f ca="1">IF(ISERROR($S285),"",OFFSET('Smelter Reference List'!$D$4,$S285-4,0)&amp;"")</f>
        <v/>
      </c>
      <c r="F285" s="292" t="str">
        <f ca="1">IF(ISERROR($S285),"",OFFSET('Smelter Reference List'!$E$4,$S285-4,0))</f>
        <v/>
      </c>
      <c r="G285" s="292" t="str">
        <f ca="1">IF(C285=$U$4,"Enter smelter details", IF(ISERROR($S285),"",OFFSET('Smelter Reference List'!$F$4,$S285-4,0)))</f>
        <v/>
      </c>
      <c r="H285" s="293" t="str">
        <f ca="1">IF(ISERROR($S285),"",OFFSET('Smelter Reference List'!$G$4,$S285-4,0))</f>
        <v/>
      </c>
      <c r="I285" s="294" t="str">
        <f ca="1">IF(ISERROR($S285),"",OFFSET('Smelter Reference List'!$H$4,$S285-4,0))</f>
        <v/>
      </c>
      <c r="J285" s="294" t="str">
        <f ca="1">IF(ISERROR($S285),"",OFFSET('Smelter Reference List'!$I$4,$S285-4,0))</f>
        <v/>
      </c>
      <c r="K285" s="295"/>
      <c r="L285" s="295"/>
      <c r="M285" s="295"/>
      <c r="N285" s="295"/>
      <c r="O285" s="295"/>
      <c r="P285" s="295"/>
      <c r="Q285" s="296"/>
      <c r="R285" s="227"/>
      <c r="S285" s="228" t="e">
        <f>IF(C285="",NA(),MATCH($B285&amp;$C285,'Smelter Reference List'!$J:$J,0))</f>
        <v>#N/A</v>
      </c>
      <c r="T285" s="229"/>
      <c r="U285" s="229">
        <f t="shared" ca="1" si="10"/>
        <v>0</v>
      </c>
      <c r="V285" s="229"/>
      <c r="W285" s="229"/>
      <c r="Y285" s="223" t="str">
        <f t="shared" si="11"/>
        <v/>
      </c>
    </row>
    <row r="286" spans="1:25" s="223" customFormat="1" ht="20.25">
      <c r="A286" s="291"/>
      <c r="B286" s="292" t="str">
        <f>IF(LEN(A286)=0,"",INDEX('Smelter Reference List'!$A:$A,MATCH($A286,'Smelter Reference List'!$E:$E,0)))</f>
        <v/>
      </c>
      <c r="C286" s="298" t="str">
        <f>IF(LEN(A286)=0,"",INDEX('Smelter Reference List'!$C:$C,MATCH($A286,'Smelter Reference List'!$E:$E,0)))</f>
        <v/>
      </c>
      <c r="D286" s="292" t="str">
        <f ca="1">IF(ISERROR($S286),"",OFFSET('Smelter Reference List'!$C$4,$S286-4,0)&amp;"")</f>
        <v/>
      </c>
      <c r="E286" s="292" t="str">
        <f ca="1">IF(ISERROR($S286),"",OFFSET('Smelter Reference List'!$D$4,$S286-4,0)&amp;"")</f>
        <v/>
      </c>
      <c r="F286" s="292" t="str">
        <f ca="1">IF(ISERROR($S286),"",OFFSET('Smelter Reference List'!$E$4,$S286-4,0))</f>
        <v/>
      </c>
      <c r="G286" s="292" t="str">
        <f ca="1">IF(C286=$U$4,"Enter smelter details", IF(ISERROR($S286),"",OFFSET('Smelter Reference List'!$F$4,$S286-4,0)))</f>
        <v/>
      </c>
      <c r="H286" s="293" t="str">
        <f ca="1">IF(ISERROR($S286),"",OFFSET('Smelter Reference List'!$G$4,$S286-4,0))</f>
        <v/>
      </c>
      <c r="I286" s="294" t="str">
        <f ca="1">IF(ISERROR($S286),"",OFFSET('Smelter Reference List'!$H$4,$S286-4,0))</f>
        <v/>
      </c>
      <c r="J286" s="294" t="str">
        <f ca="1">IF(ISERROR($S286),"",OFFSET('Smelter Reference List'!$I$4,$S286-4,0))</f>
        <v/>
      </c>
      <c r="K286" s="295"/>
      <c r="L286" s="295"/>
      <c r="M286" s="295"/>
      <c r="N286" s="295"/>
      <c r="O286" s="295"/>
      <c r="P286" s="295"/>
      <c r="Q286" s="296"/>
      <c r="R286" s="227"/>
      <c r="S286" s="228" t="e">
        <f>IF(C286="",NA(),MATCH($B286&amp;$C286,'Smelter Reference List'!$J:$J,0))</f>
        <v>#N/A</v>
      </c>
      <c r="T286" s="229"/>
      <c r="U286" s="229">
        <f t="shared" ca="1" si="10"/>
        <v>0</v>
      </c>
      <c r="V286" s="229"/>
      <c r="W286" s="229"/>
      <c r="Y286" s="223" t="str">
        <f t="shared" si="11"/>
        <v/>
      </c>
    </row>
    <row r="287" spans="1:25" s="223" customFormat="1" ht="20.25">
      <c r="A287" s="291"/>
      <c r="B287" s="292" t="str">
        <f>IF(LEN(A287)=0,"",INDEX('Smelter Reference List'!$A:$A,MATCH($A287,'Smelter Reference List'!$E:$E,0)))</f>
        <v/>
      </c>
      <c r="C287" s="298" t="str">
        <f>IF(LEN(A287)=0,"",INDEX('Smelter Reference List'!$C:$C,MATCH($A287,'Smelter Reference List'!$E:$E,0)))</f>
        <v/>
      </c>
      <c r="D287" s="292" t="str">
        <f ca="1">IF(ISERROR($S287),"",OFFSET('Smelter Reference List'!$C$4,$S287-4,0)&amp;"")</f>
        <v/>
      </c>
      <c r="E287" s="292" t="str">
        <f ca="1">IF(ISERROR($S287),"",OFFSET('Smelter Reference List'!$D$4,$S287-4,0)&amp;"")</f>
        <v/>
      </c>
      <c r="F287" s="292" t="str">
        <f ca="1">IF(ISERROR($S287),"",OFFSET('Smelter Reference List'!$E$4,$S287-4,0))</f>
        <v/>
      </c>
      <c r="G287" s="292" t="str">
        <f ca="1">IF(C287=$U$4,"Enter smelter details", IF(ISERROR($S287),"",OFFSET('Smelter Reference List'!$F$4,$S287-4,0)))</f>
        <v/>
      </c>
      <c r="H287" s="293" t="str">
        <f ca="1">IF(ISERROR($S287),"",OFFSET('Smelter Reference List'!$G$4,$S287-4,0))</f>
        <v/>
      </c>
      <c r="I287" s="294" t="str">
        <f ca="1">IF(ISERROR($S287),"",OFFSET('Smelter Reference List'!$H$4,$S287-4,0))</f>
        <v/>
      </c>
      <c r="J287" s="294" t="str">
        <f ca="1">IF(ISERROR($S287),"",OFFSET('Smelter Reference List'!$I$4,$S287-4,0))</f>
        <v/>
      </c>
      <c r="K287" s="295"/>
      <c r="L287" s="295"/>
      <c r="M287" s="295"/>
      <c r="N287" s="295"/>
      <c r="O287" s="295"/>
      <c r="P287" s="295"/>
      <c r="Q287" s="296"/>
      <c r="R287" s="227"/>
      <c r="S287" s="228" t="e">
        <f>IF(C287="",NA(),MATCH($B287&amp;$C287,'Smelter Reference List'!$J:$J,0))</f>
        <v>#N/A</v>
      </c>
      <c r="T287" s="229"/>
      <c r="U287" s="229">
        <f t="shared" ca="1" si="10"/>
        <v>0</v>
      </c>
      <c r="V287" s="229"/>
      <c r="W287" s="229"/>
      <c r="Y287" s="223" t="str">
        <f t="shared" si="11"/>
        <v/>
      </c>
    </row>
    <row r="288" spans="1:25" s="223" customFormat="1" ht="20.25">
      <c r="A288" s="291"/>
      <c r="B288" s="292" t="str">
        <f>IF(LEN(A288)=0,"",INDEX('Smelter Reference List'!$A:$A,MATCH($A288,'Smelter Reference List'!$E:$E,0)))</f>
        <v/>
      </c>
      <c r="C288" s="298" t="str">
        <f>IF(LEN(A288)=0,"",INDEX('Smelter Reference List'!$C:$C,MATCH($A288,'Smelter Reference List'!$E:$E,0)))</f>
        <v/>
      </c>
      <c r="D288" s="292" t="str">
        <f ca="1">IF(ISERROR($S288),"",OFFSET('Smelter Reference List'!$C$4,$S288-4,0)&amp;"")</f>
        <v/>
      </c>
      <c r="E288" s="292" t="str">
        <f ca="1">IF(ISERROR($S288),"",OFFSET('Smelter Reference List'!$D$4,$S288-4,0)&amp;"")</f>
        <v/>
      </c>
      <c r="F288" s="292" t="str">
        <f ca="1">IF(ISERROR($S288),"",OFFSET('Smelter Reference List'!$E$4,$S288-4,0))</f>
        <v/>
      </c>
      <c r="G288" s="292" t="str">
        <f ca="1">IF(C288=$U$4,"Enter smelter details", IF(ISERROR($S288),"",OFFSET('Smelter Reference List'!$F$4,$S288-4,0)))</f>
        <v/>
      </c>
      <c r="H288" s="293" t="str">
        <f ca="1">IF(ISERROR($S288),"",OFFSET('Smelter Reference List'!$G$4,$S288-4,0))</f>
        <v/>
      </c>
      <c r="I288" s="294" t="str">
        <f ca="1">IF(ISERROR($S288),"",OFFSET('Smelter Reference List'!$H$4,$S288-4,0))</f>
        <v/>
      </c>
      <c r="J288" s="294" t="str">
        <f ca="1">IF(ISERROR($S288),"",OFFSET('Smelter Reference List'!$I$4,$S288-4,0))</f>
        <v/>
      </c>
      <c r="K288" s="295"/>
      <c r="L288" s="295"/>
      <c r="M288" s="295"/>
      <c r="N288" s="295"/>
      <c r="O288" s="295"/>
      <c r="P288" s="295"/>
      <c r="Q288" s="296"/>
      <c r="R288" s="227"/>
      <c r="S288" s="228" t="e">
        <f>IF(C288="",NA(),MATCH($B288&amp;$C288,'Smelter Reference List'!$J:$J,0))</f>
        <v>#N/A</v>
      </c>
      <c r="T288" s="229"/>
      <c r="U288" s="229">
        <f t="shared" ca="1" si="10"/>
        <v>0</v>
      </c>
      <c r="V288" s="229"/>
      <c r="W288" s="229"/>
      <c r="Y288" s="223" t="str">
        <f t="shared" si="11"/>
        <v/>
      </c>
    </row>
    <row r="289" spans="1:25" s="223" customFormat="1" ht="20.25">
      <c r="A289" s="291"/>
      <c r="B289" s="292" t="str">
        <f>IF(LEN(A289)=0,"",INDEX('Smelter Reference List'!$A:$A,MATCH($A289,'Smelter Reference List'!$E:$E,0)))</f>
        <v/>
      </c>
      <c r="C289" s="298" t="str">
        <f>IF(LEN(A289)=0,"",INDEX('Smelter Reference List'!$C:$C,MATCH($A289,'Smelter Reference List'!$E:$E,0)))</f>
        <v/>
      </c>
      <c r="D289" s="292" t="str">
        <f ca="1">IF(ISERROR($S289),"",OFFSET('Smelter Reference List'!$C$4,$S289-4,0)&amp;"")</f>
        <v/>
      </c>
      <c r="E289" s="292" t="str">
        <f ca="1">IF(ISERROR($S289),"",OFFSET('Smelter Reference List'!$D$4,$S289-4,0)&amp;"")</f>
        <v/>
      </c>
      <c r="F289" s="292" t="str">
        <f ca="1">IF(ISERROR($S289),"",OFFSET('Smelter Reference List'!$E$4,$S289-4,0))</f>
        <v/>
      </c>
      <c r="G289" s="292" t="str">
        <f ca="1">IF(C289=$U$4,"Enter smelter details", IF(ISERROR($S289),"",OFFSET('Smelter Reference List'!$F$4,$S289-4,0)))</f>
        <v/>
      </c>
      <c r="H289" s="293" t="str">
        <f ca="1">IF(ISERROR($S289),"",OFFSET('Smelter Reference List'!$G$4,$S289-4,0))</f>
        <v/>
      </c>
      <c r="I289" s="294" t="str">
        <f ca="1">IF(ISERROR($S289),"",OFFSET('Smelter Reference List'!$H$4,$S289-4,0))</f>
        <v/>
      </c>
      <c r="J289" s="294" t="str">
        <f ca="1">IF(ISERROR($S289),"",OFFSET('Smelter Reference List'!$I$4,$S289-4,0))</f>
        <v/>
      </c>
      <c r="K289" s="295"/>
      <c r="L289" s="295"/>
      <c r="M289" s="295"/>
      <c r="N289" s="295"/>
      <c r="O289" s="295"/>
      <c r="P289" s="295"/>
      <c r="Q289" s="296"/>
      <c r="R289" s="227"/>
      <c r="S289" s="228" t="e">
        <f>IF(C289="",NA(),MATCH($B289&amp;$C289,'Smelter Reference List'!$J:$J,0))</f>
        <v>#N/A</v>
      </c>
      <c r="T289" s="229"/>
      <c r="U289" s="229">
        <f t="shared" ca="1" si="10"/>
        <v>0</v>
      </c>
      <c r="V289" s="229"/>
      <c r="W289" s="229"/>
      <c r="Y289" s="223" t="str">
        <f t="shared" si="11"/>
        <v/>
      </c>
    </row>
    <row r="290" spans="1:25" s="223" customFormat="1" ht="20.25">
      <c r="A290" s="291"/>
      <c r="B290" s="292" t="str">
        <f>IF(LEN(A290)=0,"",INDEX('Smelter Reference List'!$A:$A,MATCH($A290,'Smelter Reference List'!$E:$E,0)))</f>
        <v/>
      </c>
      <c r="C290" s="298" t="str">
        <f>IF(LEN(A290)=0,"",INDEX('Smelter Reference List'!$C:$C,MATCH($A290,'Smelter Reference List'!$E:$E,0)))</f>
        <v/>
      </c>
      <c r="D290" s="292" t="str">
        <f ca="1">IF(ISERROR($S290),"",OFFSET('Smelter Reference List'!$C$4,$S290-4,0)&amp;"")</f>
        <v/>
      </c>
      <c r="E290" s="292" t="str">
        <f ca="1">IF(ISERROR($S290),"",OFFSET('Smelter Reference List'!$D$4,$S290-4,0)&amp;"")</f>
        <v/>
      </c>
      <c r="F290" s="292" t="str">
        <f ca="1">IF(ISERROR($S290),"",OFFSET('Smelter Reference List'!$E$4,$S290-4,0))</f>
        <v/>
      </c>
      <c r="G290" s="292" t="str">
        <f ca="1">IF(C290=$U$4,"Enter smelter details", IF(ISERROR($S290),"",OFFSET('Smelter Reference List'!$F$4,$S290-4,0)))</f>
        <v/>
      </c>
      <c r="H290" s="293" t="str">
        <f ca="1">IF(ISERROR($S290),"",OFFSET('Smelter Reference List'!$G$4,$S290-4,0))</f>
        <v/>
      </c>
      <c r="I290" s="294" t="str">
        <f ca="1">IF(ISERROR($S290),"",OFFSET('Smelter Reference List'!$H$4,$S290-4,0))</f>
        <v/>
      </c>
      <c r="J290" s="294" t="str">
        <f ca="1">IF(ISERROR($S290),"",OFFSET('Smelter Reference List'!$I$4,$S290-4,0))</f>
        <v/>
      </c>
      <c r="K290" s="295"/>
      <c r="L290" s="295"/>
      <c r="M290" s="295"/>
      <c r="N290" s="295"/>
      <c r="O290" s="295"/>
      <c r="P290" s="295"/>
      <c r="Q290" s="296"/>
      <c r="R290" s="227"/>
      <c r="S290" s="228" t="e">
        <f>IF(C290="",NA(),MATCH($B290&amp;$C290,'Smelter Reference List'!$J:$J,0))</f>
        <v>#N/A</v>
      </c>
      <c r="T290" s="229"/>
      <c r="U290" s="229">
        <f t="shared" ca="1" si="10"/>
        <v>0</v>
      </c>
      <c r="V290" s="229"/>
      <c r="W290" s="229"/>
      <c r="Y290" s="223" t="str">
        <f t="shared" si="11"/>
        <v/>
      </c>
    </row>
    <row r="291" spans="1:25" s="223" customFormat="1" ht="20.25">
      <c r="A291" s="291"/>
      <c r="B291" s="292" t="str">
        <f>IF(LEN(A291)=0,"",INDEX('Smelter Reference List'!$A:$A,MATCH($A291,'Smelter Reference List'!$E:$E,0)))</f>
        <v/>
      </c>
      <c r="C291" s="298" t="str">
        <f>IF(LEN(A291)=0,"",INDEX('Smelter Reference List'!$C:$C,MATCH($A291,'Smelter Reference List'!$E:$E,0)))</f>
        <v/>
      </c>
      <c r="D291" s="292" t="str">
        <f ca="1">IF(ISERROR($S291),"",OFFSET('Smelter Reference List'!$C$4,$S291-4,0)&amp;"")</f>
        <v/>
      </c>
      <c r="E291" s="292" t="str">
        <f ca="1">IF(ISERROR($S291),"",OFFSET('Smelter Reference List'!$D$4,$S291-4,0)&amp;"")</f>
        <v/>
      </c>
      <c r="F291" s="292" t="str">
        <f ca="1">IF(ISERROR($S291),"",OFFSET('Smelter Reference List'!$E$4,$S291-4,0))</f>
        <v/>
      </c>
      <c r="G291" s="292" t="str">
        <f ca="1">IF(C291=$U$4,"Enter smelter details", IF(ISERROR($S291),"",OFFSET('Smelter Reference List'!$F$4,$S291-4,0)))</f>
        <v/>
      </c>
      <c r="H291" s="293" t="str">
        <f ca="1">IF(ISERROR($S291),"",OFFSET('Smelter Reference List'!$G$4,$S291-4,0))</f>
        <v/>
      </c>
      <c r="I291" s="294" t="str">
        <f ca="1">IF(ISERROR($S291),"",OFFSET('Smelter Reference List'!$H$4,$S291-4,0))</f>
        <v/>
      </c>
      <c r="J291" s="294" t="str">
        <f ca="1">IF(ISERROR($S291),"",OFFSET('Smelter Reference List'!$I$4,$S291-4,0))</f>
        <v/>
      </c>
      <c r="K291" s="295"/>
      <c r="L291" s="295"/>
      <c r="M291" s="295"/>
      <c r="N291" s="295"/>
      <c r="O291" s="295"/>
      <c r="P291" s="295"/>
      <c r="Q291" s="296"/>
      <c r="R291" s="227"/>
      <c r="S291" s="228" t="e">
        <f>IF(C291="",NA(),MATCH($B291&amp;$C291,'Smelter Reference List'!$J:$J,0))</f>
        <v>#N/A</v>
      </c>
      <c r="T291" s="229"/>
      <c r="U291" s="229">
        <f t="shared" ca="1" si="10"/>
        <v>0</v>
      </c>
      <c r="V291" s="229"/>
      <c r="W291" s="229"/>
      <c r="Y291" s="223" t="str">
        <f t="shared" si="11"/>
        <v/>
      </c>
    </row>
    <row r="292" spans="1:25" s="223" customFormat="1" ht="20.25">
      <c r="A292" s="291"/>
      <c r="B292" s="292" t="str">
        <f>IF(LEN(A292)=0,"",INDEX('Smelter Reference List'!$A:$A,MATCH($A292,'Smelter Reference List'!$E:$E,0)))</f>
        <v/>
      </c>
      <c r="C292" s="298" t="str">
        <f>IF(LEN(A292)=0,"",INDEX('Smelter Reference List'!$C:$C,MATCH($A292,'Smelter Reference List'!$E:$E,0)))</f>
        <v/>
      </c>
      <c r="D292" s="292" t="str">
        <f ca="1">IF(ISERROR($S292),"",OFFSET('Smelter Reference List'!$C$4,$S292-4,0)&amp;"")</f>
        <v/>
      </c>
      <c r="E292" s="292" t="str">
        <f ca="1">IF(ISERROR($S292),"",OFFSET('Smelter Reference List'!$D$4,$S292-4,0)&amp;"")</f>
        <v/>
      </c>
      <c r="F292" s="292" t="str">
        <f ca="1">IF(ISERROR($S292),"",OFFSET('Smelter Reference List'!$E$4,$S292-4,0))</f>
        <v/>
      </c>
      <c r="G292" s="292" t="str">
        <f ca="1">IF(C292=$U$4,"Enter smelter details", IF(ISERROR($S292),"",OFFSET('Smelter Reference List'!$F$4,$S292-4,0)))</f>
        <v/>
      </c>
      <c r="H292" s="293" t="str">
        <f ca="1">IF(ISERROR($S292),"",OFFSET('Smelter Reference List'!$G$4,$S292-4,0))</f>
        <v/>
      </c>
      <c r="I292" s="294" t="str">
        <f ca="1">IF(ISERROR($S292),"",OFFSET('Smelter Reference List'!$H$4,$S292-4,0))</f>
        <v/>
      </c>
      <c r="J292" s="294" t="str">
        <f ca="1">IF(ISERROR($S292),"",OFFSET('Smelter Reference List'!$I$4,$S292-4,0))</f>
        <v/>
      </c>
      <c r="K292" s="295"/>
      <c r="L292" s="295"/>
      <c r="M292" s="295"/>
      <c r="N292" s="295"/>
      <c r="O292" s="295"/>
      <c r="P292" s="295"/>
      <c r="Q292" s="296"/>
      <c r="R292" s="227"/>
      <c r="S292" s="228" t="e">
        <f>IF(C292="",NA(),MATCH($B292&amp;$C292,'Smelter Reference List'!$J:$J,0))</f>
        <v>#N/A</v>
      </c>
      <c r="T292" s="229"/>
      <c r="U292" s="229">
        <f t="shared" ca="1" si="10"/>
        <v>0</v>
      </c>
      <c r="V292" s="229"/>
      <c r="W292" s="229"/>
      <c r="Y292" s="223" t="str">
        <f t="shared" si="11"/>
        <v/>
      </c>
    </row>
    <row r="293" spans="1:25" s="223" customFormat="1" ht="20.25">
      <c r="A293" s="291"/>
      <c r="B293" s="292" t="str">
        <f>IF(LEN(A293)=0,"",INDEX('Smelter Reference List'!$A:$A,MATCH($A293,'Smelter Reference List'!$E:$E,0)))</f>
        <v/>
      </c>
      <c r="C293" s="298" t="str">
        <f>IF(LEN(A293)=0,"",INDEX('Smelter Reference List'!$C:$C,MATCH($A293,'Smelter Reference List'!$E:$E,0)))</f>
        <v/>
      </c>
      <c r="D293" s="292" t="str">
        <f ca="1">IF(ISERROR($S293),"",OFFSET('Smelter Reference List'!$C$4,$S293-4,0)&amp;"")</f>
        <v/>
      </c>
      <c r="E293" s="292" t="str">
        <f ca="1">IF(ISERROR($S293),"",OFFSET('Smelter Reference List'!$D$4,$S293-4,0)&amp;"")</f>
        <v/>
      </c>
      <c r="F293" s="292" t="str">
        <f ca="1">IF(ISERROR($S293),"",OFFSET('Smelter Reference List'!$E$4,$S293-4,0))</f>
        <v/>
      </c>
      <c r="G293" s="292" t="str">
        <f ca="1">IF(C293=$U$4,"Enter smelter details", IF(ISERROR($S293),"",OFFSET('Smelter Reference List'!$F$4,$S293-4,0)))</f>
        <v/>
      </c>
      <c r="H293" s="293" t="str">
        <f ca="1">IF(ISERROR($S293),"",OFFSET('Smelter Reference List'!$G$4,$S293-4,0))</f>
        <v/>
      </c>
      <c r="I293" s="294" t="str">
        <f ca="1">IF(ISERROR($S293),"",OFFSET('Smelter Reference List'!$H$4,$S293-4,0))</f>
        <v/>
      </c>
      <c r="J293" s="294" t="str">
        <f ca="1">IF(ISERROR($S293),"",OFFSET('Smelter Reference List'!$I$4,$S293-4,0))</f>
        <v/>
      </c>
      <c r="K293" s="295"/>
      <c r="L293" s="295"/>
      <c r="M293" s="295"/>
      <c r="N293" s="295"/>
      <c r="O293" s="295"/>
      <c r="P293" s="295"/>
      <c r="Q293" s="296"/>
      <c r="R293" s="227"/>
      <c r="S293" s="228" t="e">
        <f>IF(C293="",NA(),MATCH($B293&amp;$C293,'Smelter Reference List'!$J:$J,0))</f>
        <v>#N/A</v>
      </c>
      <c r="T293" s="229"/>
      <c r="U293" s="229">
        <f t="shared" ca="1" si="10"/>
        <v>0</v>
      </c>
      <c r="V293" s="229"/>
      <c r="W293" s="229"/>
      <c r="Y293" s="223" t="str">
        <f t="shared" si="11"/>
        <v/>
      </c>
    </row>
    <row r="294" spans="1:25" s="223" customFormat="1" ht="20.25">
      <c r="A294" s="291"/>
      <c r="B294" s="292" t="str">
        <f>IF(LEN(A294)=0,"",INDEX('Smelter Reference List'!$A:$A,MATCH($A294,'Smelter Reference List'!$E:$E,0)))</f>
        <v/>
      </c>
      <c r="C294" s="298" t="str">
        <f>IF(LEN(A294)=0,"",INDEX('Smelter Reference List'!$C:$C,MATCH($A294,'Smelter Reference List'!$E:$E,0)))</f>
        <v/>
      </c>
      <c r="D294" s="292" t="str">
        <f ca="1">IF(ISERROR($S294),"",OFFSET('Smelter Reference List'!$C$4,$S294-4,0)&amp;"")</f>
        <v/>
      </c>
      <c r="E294" s="292" t="str">
        <f ca="1">IF(ISERROR($S294),"",OFFSET('Smelter Reference List'!$D$4,$S294-4,0)&amp;"")</f>
        <v/>
      </c>
      <c r="F294" s="292" t="str">
        <f ca="1">IF(ISERROR($S294),"",OFFSET('Smelter Reference List'!$E$4,$S294-4,0))</f>
        <v/>
      </c>
      <c r="G294" s="292" t="str">
        <f ca="1">IF(C294=$U$4,"Enter smelter details", IF(ISERROR($S294),"",OFFSET('Smelter Reference List'!$F$4,$S294-4,0)))</f>
        <v/>
      </c>
      <c r="H294" s="293" t="str">
        <f ca="1">IF(ISERROR($S294),"",OFFSET('Smelter Reference List'!$G$4,$S294-4,0))</f>
        <v/>
      </c>
      <c r="I294" s="294" t="str">
        <f ca="1">IF(ISERROR($S294),"",OFFSET('Smelter Reference List'!$H$4,$S294-4,0))</f>
        <v/>
      </c>
      <c r="J294" s="294" t="str">
        <f ca="1">IF(ISERROR($S294),"",OFFSET('Smelter Reference List'!$I$4,$S294-4,0))</f>
        <v/>
      </c>
      <c r="K294" s="295"/>
      <c r="L294" s="295"/>
      <c r="M294" s="295"/>
      <c r="N294" s="295"/>
      <c r="O294" s="295"/>
      <c r="P294" s="295"/>
      <c r="Q294" s="296"/>
      <c r="R294" s="227"/>
      <c r="S294" s="228" t="e">
        <f>IF(C294="",NA(),MATCH($B294&amp;$C294,'Smelter Reference List'!$J:$J,0))</f>
        <v>#N/A</v>
      </c>
      <c r="T294" s="229"/>
      <c r="U294" s="229">
        <f t="shared" ca="1" si="10"/>
        <v>0</v>
      </c>
      <c r="V294" s="229"/>
      <c r="W294" s="229"/>
      <c r="Y294" s="223" t="str">
        <f t="shared" si="11"/>
        <v/>
      </c>
    </row>
    <row r="295" spans="1:25" s="223" customFormat="1" ht="20.25">
      <c r="A295" s="291"/>
      <c r="B295" s="292" t="str">
        <f>IF(LEN(A295)=0,"",INDEX('Smelter Reference List'!$A:$A,MATCH($A295,'Smelter Reference List'!$E:$E,0)))</f>
        <v/>
      </c>
      <c r="C295" s="298" t="str">
        <f>IF(LEN(A295)=0,"",INDEX('Smelter Reference List'!$C:$C,MATCH($A295,'Smelter Reference List'!$E:$E,0)))</f>
        <v/>
      </c>
      <c r="D295" s="292" t="str">
        <f ca="1">IF(ISERROR($S295),"",OFFSET('Smelter Reference List'!$C$4,$S295-4,0)&amp;"")</f>
        <v/>
      </c>
      <c r="E295" s="292" t="str">
        <f ca="1">IF(ISERROR($S295),"",OFFSET('Smelter Reference List'!$D$4,$S295-4,0)&amp;"")</f>
        <v/>
      </c>
      <c r="F295" s="292" t="str">
        <f ca="1">IF(ISERROR($S295),"",OFFSET('Smelter Reference List'!$E$4,$S295-4,0))</f>
        <v/>
      </c>
      <c r="G295" s="292" t="str">
        <f ca="1">IF(C295=$U$4,"Enter smelter details", IF(ISERROR($S295),"",OFFSET('Smelter Reference List'!$F$4,$S295-4,0)))</f>
        <v/>
      </c>
      <c r="H295" s="293" t="str">
        <f ca="1">IF(ISERROR($S295),"",OFFSET('Smelter Reference List'!$G$4,$S295-4,0))</f>
        <v/>
      </c>
      <c r="I295" s="294" t="str">
        <f ca="1">IF(ISERROR($S295),"",OFFSET('Smelter Reference List'!$H$4,$S295-4,0))</f>
        <v/>
      </c>
      <c r="J295" s="294" t="str">
        <f ca="1">IF(ISERROR($S295),"",OFFSET('Smelter Reference List'!$I$4,$S295-4,0))</f>
        <v/>
      </c>
      <c r="K295" s="295"/>
      <c r="L295" s="295"/>
      <c r="M295" s="295"/>
      <c r="N295" s="295"/>
      <c r="O295" s="295"/>
      <c r="P295" s="295"/>
      <c r="Q295" s="296"/>
      <c r="R295" s="227"/>
      <c r="S295" s="228" t="e">
        <f>IF(C295="",NA(),MATCH($B295&amp;$C295,'Smelter Reference List'!$J:$J,0))</f>
        <v>#N/A</v>
      </c>
      <c r="T295" s="229"/>
      <c r="U295" s="229">
        <f t="shared" ca="1" si="10"/>
        <v>0</v>
      </c>
      <c r="V295" s="229"/>
      <c r="W295" s="229"/>
      <c r="Y295" s="223" t="str">
        <f t="shared" si="11"/>
        <v/>
      </c>
    </row>
    <row r="296" spans="1:25" s="223" customFormat="1" ht="20.25">
      <c r="A296" s="291"/>
      <c r="B296" s="292" t="str">
        <f>IF(LEN(A296)=0,"",INDEX('Smelter Reference List'!$A:$A,MATCH($A296,'Smelter Reference List'!$E:$E,0)))</f>
        <v/>
      </c>
      <c r="C296" s="298" t="str">
        <f>IF(LEN(A296)=0,"",INDEX('Smelter Reference List'!$C:$C,MATCH($A296,'Smelter Reference List'!$E:$E,0)))</f>
        <v/>
      </c>
      <c r="D296" s="292" t="str">
        <f ca="1">IF(ISERROR($S296),"",OFFSET('Smelter Reference List'!$C$4,$S296-4,0)&amp;"")</f>
        <v/>
      </c>
      <c r="E296" s="292" t="str">
        <f ca="1">IF(ISERROR($S296),"",OFFSET('Smelter Reference List'!$D$4,$S296-4,0)&amp;"")</f>
        <v/>
      </c>
      <c r="F296" s="292" t="str">
        <f ca="1">IF(ISERROR($S296),"",OFFSET('Smelter Reference List'!$E$4,$S296-4,0))</f>
        <v/>
      </c>
      <c r="G296" s="292" t="str">
        <f ca="1">IF(C296=$U$4,"Enter smelter details", IF(ISERROR($S296),"",OFFSET('Smelter Reference List'!$F$4,$S296-4,0)))</f>
        <v/>
      </c>
      <c r="H296" s="293" t="str">
        <f ca="1">IF(ISERROR($S296),"",OFFSET('Smelter Reference List'!$G$4,$S296-4,0))</f>
        <v/>
      </c>
      <c r="I296" s="294" t="str">
        <f ca="1">IF(ISERROR($S296),"",OFFSET('Smelter Reference List'!$H$4,$S296-4,0))</f>
        <v/>
      </c>
      <c r="J296" s="294" t="str">
        <f ca="1">IF(ISERROR($S296),"",OFFSET('Smelter Reference List'!$I$4,$S296-4,0))</f>
        <v/>
      </c>
      <c r="K296" s="295"/>
      <c r="L296" s="295"/>
      <c r="M296" s="295"/>
      <c r="N296" s="295"/>
      <c r="O296" s="295"/>
      <c r="P296" s="295"/>
      <c r="Q296" s="296"/>
      <c r="R296" s="227"/>
      <c r="S296" s="228" t="e">
        <f>IF(C296="",NA(),MATCH($B296&amp;$C296,'Smelter Reference List'!$J:$J,0))</f>
        <v>#N/A</v>
      </c>
      <c r="T296" s="229"/>
      <c r="U296" s="229">
        <f t="shared" ca="1" si="10"/>
        <v>0</v>
      </c>
      <c r="V296" s="229"/>
      <c r="W296" s="229"/>
      <c r="Y296" s="223" t="str">
        <f t="shared" si="11"/>
        <v/>
      </c>
    </row>
    <row r="297" spans="1:25" s="223" customFormat="1" ht="20.25">
      <c r="A297" s="291"/>
      <c r="B297" s="292" t="str">
        <f>IF(LEN(A297)=0,"",INDEX('Smelter Reference List'!$A:$A,MATCH($A297,'Smelter Reference List'!$E:$E,0)))</f>
        <v/>
      </c>
      <c r="C297" s="298" t="str">
        <f>IF(LEN(A297)=0,"",INDEX('Smelter Reference List'!$C:$C,MATCH($A297,'Smelter Reference List'!$E:$E,0)))</f>
        <v/>
      </c>
      <c r="D297" s="292" t="str">
        <f ca="1">IF(ISERROR($S297),"",OFFSET('Smelter Reference List'!$C$4,$S297-4,0)&amp;"")</f>
        <v/>
      </c>
      <c r="E297" s="292" t="str">
        <f ca="1">IF(ISERROR($S297),"",OFFSET('Smelter Reference List'!$D$4,$S297-4,0)&amp;"")</f>
        <v/>
      </c>
      <c r="F297" s="292" t="str">
        <f ca="1">IF(ISERROR($S297),"",OFFSET('Smelter Reference List'!$E$4,$S297-4,0))</f>
        <v/>
      </c>
      <c r="G297" s="292" t="str">
        <f ca="1">IF(C297=$U$4,"Enter smelter details", IF(ISERROR($S297),"",OFFSET('Smelter Reference List'!$F$4,$S297-4,0)))</f>
        <v/>
      </c>
      <c r="H297" s="293" t="str">
        <f ca="1">IF(ISERROR($S297),"",OFFSET('Smelter Reference List'!$G$4,$S297-4,0))</f>
        <v/>
      </c>
      <c r="I297" s="294" t="str">
        <f ca="1">IF(ISERROR($S297),"",OFFSET('Smelter Reference List'!$H$4,$S297-4,0))</f>
        <v/>
      </c>
      <c r="J297" s="294" t="str">
        <f ca="1">IF(ISERROR($S297),"",OFFSET('Smelter Reference List'!$I$4,$S297-4,0))</f>
        <v/>
      </c>
      <c r="K297" s="295"/>
      <c r="L297" s="295"/>
      <c r="M297" s="295"/>
      <c r="N297" s="295"/>
      <c r="O297" s="295"/>
      <c r="P297" s="295"/>
      <c r="Q297" s="296"/>
      <c r="R297" s="227"/>
      <c r="S297" s="228" t="e">
        <f>IF(C297="",NA(),MATCH($B297&amp;$C297,'Smelter Reference List'!$J:$J,0))</f>
        <v>#N/A</v>
      </c>
      <c r="T297" s="229"/>
      <c r="U297" s="229">
        <f t="shared" ca="1" si="10"/>
        <v>0</v>
      </c>
      <c r="V297" s="229"/>
      <c r="W297" s="229"/>
      <c r="Y297" s="223" t="str">
        <f t="shared" si="11"/>
        <v/>
      </c>
    </row>
    <row r="298" spans="1:25" s="223" customFormat="1" ht="20.25">
      <c r="A298" s="291"/>
      <c r="B298" s="292" t="str">
        <f>IF(LEN(A298)=0,"",INDEX('Smelter Reference List'!$A:$A,MATCH($A298,'Smelter Reference List'!$E:$E,0)))</f>
        <v/>
      </c>
      <c r="C298" s="298" t="str">
        <f>IF(LEN(A298)=0,"",INDEX('Smelter Reference List'!$C:$C,MATCH($A298,'Smelter Reference List'!$E:$E,0)))</f>
        <v/>
      </c>
      <c r="D298" s="292" t="str">
        <f ca="1">IF(ISERROR($S298),"",OFFSET('Smelter Reference List'!$C$4,$S298-4,0)&amp;"")</f>
        <v/>
      </c>
      <c r="E298" s="292" t="str">
        <f ca="1">IF(ISERROR($S298),"",OFFSET('Smelter Reference List'!$D$4,$S298-4,0)&amp;"")</f>
        <v/>
      </c>
      <c r="F298" s="292" t="str">
        <f ca="1">IF(ISERROR($S298),"",OFFSET('Smelter Reference List'!$E$4,$S298-4,0))</f>
        <v/>
      </c>
      <c r="G298" s="292" t="str">
        <f ca="1">IF(C298=$U$4,"Enter smelter details", IF(ISERROR($S298),"",OFFSET('Smelter Reference List'!$F$4,$S298-4,0)))</f>
        <v/>
      </c>
      <c r="H298" s="293" t="str">
        <f ca="1">IF(ISERROR($S298),"",OFFSET('Smelter Reference List'!$G$4,$S298-4,0))</f>
        <v/>
      </c>
      <c r="I298" s="294" t="str">
        <f ca="1">IF(ISERROR($S298),"",OFFSET('Smelter Reference List'!$H$4,$S298-4,0))</f>
        <v/>
      </c>
      <c r="J298" s="294" t="str">
        <f ca="1">IF(ISERROR($S298),"",OFFSET('Smelter Reference List'!$I$4,$S298-4,0))</f>
        <v/>
      </c>
      <c r="K298" s="295"/>
      <c r="L298" s="295"/>
      <c r="M298" s="295"/>
      <c r="N298" s="295"/>
      <c r="O298" s="295"/>
      <c r="P298" s="295"/>
      <c r="Q298" s="296"/>
      <c r="R298" s="227"/>
      <c r="S298" s="228" t="e">
        <f>IF(C298="",NA(),MATCH($B298&amp;$C298,'Smelter Reference List'!$J:$J,0))</f>
        <v>#N/A</v>
      </c>
      <c r="T298" s="229"/>
      <c r="U298" s="229">
        <f t="shared" ca="1" si="10"/>
        <v>0</v>
      </c>
      <c r="V298" s="229"/>
      <c r="W298" s="229"/>
      <c r="Y298" s="223" t="str">
        <f t="shared" si="11"/>
        <v/>
      </c>
    </row>
    <row r="299" spans="1:25" s="223" customFormat="1" ht="20.25">
      <c r="A299" s="291"/>
      <c r="B299" s="292" t="str">
        <f>IF(LEN(A299)=0,"",INDEX('Smelter Reference List'!$A:$A,MATCH($A299,'Smelter Reference List'!$E:$E,0)))</f>
        <v/>
      </c>
      <c r="C299" s="298" t="str">
        <f>IF(LEN(A299)=0,"",INDEX('Smelter Reference List'!$C:$C,MATCH($A299,'Smelter Reference List'!$E:$E,0)))</f>
        <v/>
      </c>
      <c r="D299" s="292" t="str">
        <f ca="1">IF(ISERROR($S299),"",OFFSET('Smelter Reference List'!$C$4,$S299-4,0)&amp;"")</f>
        <v/>
      </c>
      <c r="E299" s="292" t="str">
        <f ca="1">IF(ISERROR($S299),"",OFFSET('Smelter Reference List'!$D$4,$S299-4,0)&amp;"")</f>
        <v/>
      </c>
      <c r="F299" s="292" t="str">
        <f ca="1">IF(ISERROR($S299),"",OFFSET('Smelter Reference List'!$E$4,$S299-4,0))</f>
        <v/>
      </c>
      <c r="G299" s="292" t="str">
        <f ca="1">IF(C299=$U$4,"Enter smelter details", IF(ISERROR($S299),"",OFFSET('Smelter Reference List'!$F$4,$S299-4,0)))</f>
        <v/>
      </c>
      <c r="H299" s="293" t="str">
        <f ca="1">IF(ISERROR($S299),"",OFFSET('Smelter Reference List'!$G$4,$S299-4,0))</f>
        <v/>
      </c>
      <c r="I299" s="294" t="str">
        <f ca="1">IF(ISERROR($S299),"",OFFSET('Smelter Reference List'!$H$4,$S299-4,0))</f>
        <v/>
      </c>
      <c r="J299" s="294" t="str">
        <f ca="1">IF(ISERROR($S299),"",OFFSET('Smelter Reference List'!$I$4,$S299-4,0))</f>
        <v/>
      </c>
      <c r="K299" s="295"/>
      <c r="L299" s="295"/>
      <c r="M299" s="295"/>
      <c r="N299" s="295"/>
      <c r="O299" s="295"/>
      <c r="P299" s="295"/>
      <c r="Q299" s="296"/>
      <c r="R299" s="227"/>
      <c r="S299" s="228" t="e">
        <f>IF(C299="",NA(),MATCH($B299&amp;$C299,'Smelter Reference List'!$J:$J,0))</f>
        <v>#N/A</v>
      </c>
      <c r="T299" s="229"/>
      <c r="U299" s="229">
        <f t="shared" ca="1" si="10"/>
        <v>0</v>
      </c>
      <c r="V299" s="229"/>
      <c r="W299" s="229"/>
      <c r="Y299" s="223" t="str">
        <f t="shared" si="11"/>
        <v/>
      </c>
    </row>
    <row r="300" spans="1:25" s="223" customFormat="1" ht="20.25">
      <c r="A300" s="291"/>
      <c r="B300" s="292" t="str">
        <f>IF(LEN(A300)=0,"",INDEX('Smelter Reference List'!$A:$A,MATCH($A300,'Smelter Reference List'!$E:$E,0)))</f>
        <v/>
      </c>
      <c r="C300" s="298" t="str">
        <f>IF(LEN(A300)=0,"",INDEX('Smelter Reference List'!$C:$C,MATCH($A300,'Smelter Reference List'!$E:$E,0)))</f>
        <v/>
      </c>
      <c r="D300" s="292" t="str">
        <f ca="1">IF(ISERROR($S300),"",OFFSET('Smelter Reference List'!$C$4,$S300-4,0)&amp;"")</f>
        <v/>
      </c>
      <c r="E300" s="292" t="str">
        <f ca="1">IF(ISERROR($S300),"",OFFSET('Smelter Reference List'!$D$4,$S300-4,0)&amp;"")</f>
        <v/>
      </c>
      <c r="F300" s="292" t="str">
        <f ca="1">IF(ISERROR($S300),"",OFFSET('Smelter Reference List'!$E$4,$S300-4,0))</f>
        <v/>
      </c>
      <c r="G300" s="292" t="str">
        <f ca="1">IF(C300=$U$4,"Enter smelter details", IF(ISERROR($S300),"",OFFSET('Smelter Reference List'!$F$4,$S300-4,0)))</f>
        <v/>
      </c>
      <c r="H300" s="293" t="str">
        <f ca="1">IF(ISERROR($S300),"",OFFSET('Smelter Reference List'!$G$4,$S300-4,0))</f>
        <v/>
      </c>
      <c r="I300" s="294" t="str">
        <f ca="1">IF(ISERROR($S300),"",OFFSET('Smelter Reference List'!$H$4,$S300-4,0))</f>
        <v/>
      </c>
      <c r="J300" s="294" t="str">
        <f ca="1">IF(ISERROR($S300),"",OFFSET('Smelter Reference List'!$I$4,$S300-4,0))</f>
        <v/>
      </c>
      <c r="K300" s="295"/>
      <c r="L300" s="295"/>
      <c r="M300" s="295"/>
      <c r="N300" s="295"/>
      <c r="O300" s="295"/>
      <c r="P300" s="295"/>
      <c r="Q300" s="296"/>
      <c r="R300" s="227"/>
      <c r="S300" s="228" t="e">
        <f>IF(C300="",NA(),MATCH($B300&amp;$C300,'Smelter Reference List'!$J:$J,0))</f>
        <v>#N/A</v>
      </c>
      <c r="T300" s="229"/>
      <c r="U300" s="229">
        <f t="shared" ca="1" si="10"/>
        <v>0</v>
      </c>
      <c r="V300" s="229"/>
      <c r="W300" s="229"/>
      <c r="Y300" s="223" t="str">
        <f t="shared" si="11"/>
        <v/>
      </c>
    </row>
    <row r="301" spans="1:25" s="223" customFormat="1" ht="20.25">
      <c r="A301" s="291"/>
      <c r="B301" s="292" t="str">
        <f>IF(LEN(A301)=0,"",INDEX('Smelter Reference List'!$A:$A,MATCH($A301,'Smelter Reference List'!$E:$E,0)))</f>
        <v/>
      </c>
      <c r="C301" s="298" t="str">
        <f>IF(LEN(A301)=0,"",INDEX('Smelter Reference List'!$C:$C,MATCH($A301,'Smelter Reference List'!$E:$E,0)))</f>
        <v/>
      </c>
      <c r="D301" s="292" t="str">
        <f ca="1">IF(ISERROR($S301),"",OFFSET('Smelter Reference List'!$C$4,$S301-4,0)&amp;"")</f>
        <v/>
      </c>
      <c r="E301" s="292" t="str">
        <f ca="1">IF(ISERROR($S301),"",OFFSET('Smelter Reference List'!$D$4,$S301-4,0)&amp;"")</f>
        <v/>
      </c>
      <c r="F301" s="292" t="str">
        <f ca="1">IF(ISERROR($S301),"",OFFSET('Smelter Reference List'!$E$4,$S301-4,0))</f>
        <v/>
      </c>
      <c r="G301" s="292" t="str">
        <f ca="1">IF(C301=$U$4,"Enter smelter details", IF(ISERROR($S301),"",OFFSET('Smelter Reference List'!$F$4,$S301-4,0)))</f>
        <v/>
      </c>
      <c r="H301" s="293" t="str">
        <f ca="1">IF(ISERROR($S301),"",OFFSET('Smelter Reference List'!$G$4,$S301-4,0))</f>
        <v/>
      </c>
      <c r="I301" s="294" t="str">
        <f ca="1">IF(ISERROR($S301),"",OFFSET('Smelter Reference List'!$H$4,$S301-4,0))</f>
        <v/>
      </c>
      <c r="J301" s="294" t="str">
        <f ca="1">IF(ISERROR($S301),"",OFFSET('Smelter Reference List'!$I$4,$S301-4,0))</f>
        <v/>
      </c>
      <c r="K301" s="295"/>
      <c r="L301" s="295"/>
      <c r="M301" s="295"/>
      <c r="N301" s="295"/>
      <c r="O301" s="295"/>
      <c r="P301" s="295"/>
      <c r="Q301" s="296"/>
      <c r="R301" s="227"/>
      <c r="S301" s="228" t="e">
        <f>IF(C301="",NA(),MATCH($B301&amp;$C301,'Smelter Reference List'!$J:$J,0))</f>
        <v>#N/A</v>
      </c>
      <c r="T301" s="229"/>
      <c r="U301" s="229">
        <f t="shared" ca="1" si="10"/>
        <v>0</v>
      </c>
      <c r="V301" s="229"/>
      <c r="W301" s="229"/>
      <c r="Y301" s="223" t="str">
        <f t="shared" si="11"/>
        <v/>
      </c>
    </row>
    <row r="302" spans="1:25" s="223" customFormat="1" ht="20.25">
      <c r="A302" s="291"/>
      <c r="B302" s="292" t="str">
        <f>IF(LEN(A302)=0,"",INDEX('Smelter Reference List'!$A:$A,MATCH($A302,'Smelter Reference List'!$E:$E,0)))</f>
        <v/>
      </c>
      <c r="C302" s="298" t="str">
        <f>IF(LEN(A302)=0,"",INDEX('Smelter Reference List'!$C:$C,MATCH($A302,'Smelter Reference List'!$E:$E,0)))</f>
        <v/>
      </c>
      <c r="D302" s="292" t="str">
        <f ca="1">IF(ISERROR($S302),"",OFFSET('Smelter Reference List'!$C$4,$S302-4,0)&amp;"")</f>
        <v/>
      </c>
      <c r="E302" s="292" t="str">
        <f ca="1">IF(ISERROR($S302),"",OFFSET('Smelter Reference List'!$D$4,$S302-4,0)&amp;"")</f>
        <v/>
      </c>
      <c r="F302" s="292" t="str">
        <f ca="1">IF(ISERROR($S302),"",OFFSET('Smelter Reference List'!$E$4,$S302-4,0))</f>
        <v/>
      </c>
      <c r="G302" s="292" t="str">
        <f ca="1">IF(C302=$U$4,"Enter smelter details", IF(ISERROR($S302),"",OFFSET('Smelter Reference List'!$F$4,$S302-4,0)))</f>
        <v/>
      </c>
      <c r="H302" s="293" t="str">
        <f ca="1">IF(ISERROR($S302),"",OFFSET('Smelter Reference List'!$G$4,$S302-4,0))</f>
        <v/>
      </c>
      <c r="I302" s="294" t="str">
        <f ca="1">IF(ISERROR($S302),"",OFFSET('Smelter Reference List'!$H$4,$S302-4,0))</f>
        <v/>
      </c>
      <c r="J302" s="294" t="str">
        <f ca="1">IF(ISERROR($S302),"",OFFSET('Smelter Reference List'!$I$4,$S302-4,0))</f>
        <v/>
      </c>
      <c r="K302" s="295"/>
      <c r="L302" s="295"/>
      <c r="M302" s="295"/>
      <c r="N302" s="295"/>
      <c r="O302" s="295"/>
      <c r="P302" s="295"/>
      <c r="Q302" s="296"/>
      <c r="R302" s="227"/>
      <c r="S302" s="228" t="e">
        <f>IF(C302="",NA(),MATCH($B302&amp;$C302,'Smelter Reference List'!$J:$J,0))</f>
        <v>#N/A</v>
      </c>
      <c r="T302" s="229"/>
      <c r="U302" s="229">
        <f t="shared" ca="1" si="10"/>
        <v>0</v>
      </c>
      <c r="V302" s="229"/>
      <c r="W302" s="229"/>
      <c r="Y302" s="223" t="str">
        <f t="shared" si="11"/>
        <v/>
      </c>
    </row>
    <row r="303" spans="1:25" s="223" customFormat="1" ht="20.25">
      <c r="A303" s="291"/>
      <c r="B303" s="292" t="str">
        <f>IF(LEN(A303)=0,"",INDEX('Smelter Reference List'!$A:$A,MATCH($A303,'Smelter Reference List'!$E:$E,0)))</f>
        <v/>
      </c>
      <c r="C303" s="298" t="str">
        <f>IF(LEN(A303)=0,"",INDEX('Smelter Reference List'!$C:$C,MATCH($A303,'Smelter Reference List'!$E:$E,0)))</f>
        <v/>
      </c>
      <c r="D303" s="292" t="str">
        <f ca="1">IF(ISERROR($S303),"",OFFSET('Smelter Reference List'!$C$4,$S303-4,0)&amp;"")</f>
        <v/>
      </c>
      <c r="E303" s="292" t="str">
        <f ca="1">IF(ISERROR($S303),"",OFFSET('Smelter Reference List'!$D$4,$S303-4,0)&amp;"")</f>
        <v/>
      </c>
      <c r="F303" s="292" t="str">
        <f ca="1">IF(ISERROR($S303),"",OFFSET('Smelter Reference List'!$E$4,$S303-4,0))</f>
        <v/>
      </c>
      <c r="G303" s="292" t="str">
        <f ca="1">IF(C303=$U$4,"Enter smelter details", IF(ISERROR($S303),"",OFFSET('Smelter Reference List'!$F$4,$S303-4,0)))</f>
        <v/>
      </c>
      <c r="H303" s="293" t="str">
        <f ca="1">IF(ISERROR($S303),"",OFFSET('Smelter Reference List'!$G$4,$S303-4,0))</f>
        <v/>
      </c>
      <c r="I303" s="294" t="str">
        <f ca="1">IF(ISERROR($S303),"",OFFSET('Smelter Reference List'!$H$4,$S303-4,0))</f>
        <v/>
      </c>
      <c r="J303" s="294" t="str">
        <f ca="1">IF(ISERROR($S303),"",OFFSET('Smelter Reference List'!$I$4,$S303-4,0))</f>
        <v/>
      </c>
      <c r="K303" s="295"/>
      <c r="L303" s="295"/>
      <c r="M303" s="295"/>
      <c r="N303" s="295"/>
      <c r="O303" s="295"/>
      <c r="P303" s="295"/>
      <c r="Q303" s="296"/>
      <c r="R303" s="227"/>
      <c r="S303" s="228" t="e">
        <f>IF(C303="",NA(),MATCH($B303&amp;$C303,'Smelter Reference List'!$J:$J,0))</f>
        <v>#N/A</v>
      </c>
      <c r="T303" s="229"/>
      <c r="U303" s="229">
        <f t="shared" ca="1" si="10"/>
        <v>0</v>
      </c>
      <c r="V303" s="229"/>
      <c r="W303" s="229"/>
      <c r="Y303" s="223" t="str">
        <f t="shared" si="11"/>
        <v/>
      </c>
    </row>
    <row r="304" spans="1:25" s="223" customFormat="1" ht="20.25">
      <c r="A304" s="291"/>
      <c r="B304" s="292" t="str">
        <f>IF(LEN(A304)=0,"",INDEX('Smelter Reference List'!$A:$A,MATCH($A304,'Smelter Reference List'!$E:$E,0)))</f>
        <v/>
      </c>
      <c r="C304" s="298" t="str">
        <f>IF(LEN(A304)=0,"",INDEX('Smelter Reference List'!$C:$C,MATCH($A304,'Smelter Reference List'!$E:$E,0)))</f>
        <v/>
      </c>
      <c r="D304" s="292" t="str">
        <f ca="1">IF(ISERROR($S304),"",OFFSET('Smelter Reference List'!$C$4,$S304-4,0)&amp;"")</f>
        <v/>
      </c>
      <c r="E304" s="292" t="str">
        <f ca="1">IF(ISERROR($S304),"",OFFSET('Smelter Reference List'!$D$4,$S304-4,0)&amp;"")</f>
        <v/>
      </c>
      <c r="F304" s="292" t="str">
        <f ca="1">IF(ISERROR($S304),"",OFFSET('Smelter Reference List'!$E$4,$S304-4,0))</f>
        <v/>
      </c>
      <c r="G304" s="292" t="str">
        <f ca="1">IF(C304=$U$4,"Enter smelter details", IF(ISERROR($S304),"",OFFSET('Smelter Reference List'!$F$4,$S304-4,0)))</f>
        <v/>
      </c>
      <c r="H304" s="293" t="str">
        <f ca="1">IF(ISERROR($S304),"",OFFSET('Smelter Reference List'!$G$4,$S304-4,0))</f>
        <v/>
      </c>
      <c r="I304" s="294" t="str">
        <f ca="1">IF(ISERROR($S304),"",OFFSET('Smelter Reference List'!$H$4,$S304-4,0))</f>
        <v/>
      </c>
      <c r="J304" s="294" t="str">
        <f ca="1">IF(ISERROR($S304),"",OFFSET('Smelter Reference List'!$I$4,$S304-4,0))</f>
        <v/>
      </c>
      <c r="K304" s="295"/>
      <c r="L304" s="295"/>
      <c r="M304" s="295"/>
      <c r="N304" s="295"/>
      <c r="O304" s="295"/>
      <c r="P304" s="295"/>
      <c r="Q304" s="296"/>
      <c r="R304" s="227"/>
      <c r="S304" s="228" t="e">
        <f>IF(C304="",NA(),MATCH($B304&amp;$C304,'Smelter Reference List'!$J:$J,0))</f>
        <v>#N/A</v>
      </c>
      <c r="T304" s="229"/>
      <c r="U304" s="229">
        <f t="shared" ca="1" si="10"/>
        <v>0</v>
      </c>
      <c r="V304" s="229"/>
      <c r="W304" s="229"/>
      <c r="Y304" s="223" t="str">
        <f t="shared" si="11"/>
        <v/>
      </c>
    </row>
    <row r="305" spans="1:25" s="223" customFormat="1" ht="20.25">
      <c r="A305" s="291"/>
      <c r="B305" s="292" t="str">
        <f>IF(LEN(A305)=0,"",INDEX('Smelter Reference List'!$A:$A,MATCH($A305,'Smelter Reference List'!$E:$E,0)))</f>
        <v/>
      </c>
      <c r="C305" s="298" t="str">
        <f>IF(LEN(A305)=0,"",INDEX('Smelter Reference List'!$C:$C,MATCH($A305,'Smelter Reference List'!$E:$E,0)))</f>
        <v/>
      </c>
      <c r="D305" s="292" t="str">
        <f ca="1">IF(ISERROR($S305),"",OFFSET('Smelter Reference List'!$C$4,$S305-4,0)&amp;"")</f>
        <v/>
      </c>
      <c r="E305" s="292" t="str">
        <f ca="1">IF(ISERROR($S305),"",OFFSET('Smelter Reference List'!$D$4,$S305-4,0)&amp;"")</f>
        <v/>
      </c>
      <c r="F305" s="292" t="str">
        <f ca="1">IF(ISERROR($S305),"",OFFSET('Smelter Reference List'!$E$4,$S305-4,0))</f>
        <v/>
      </c>
      <c r="G305" s="292" t="str">
        <f ca="1">IF(C305=$U$4,"Enter smelter details", IF(ISERROR($S305),"",OFFSET('Smelter Reference List'!$F$4,$S305-4,0)))</f>
        <v/>
      </c>
      <c r="H305" s="293" t="str">
        <f ca="1">IF(ISERROR($S305),"",OFFSET('Smelter Reference List'!$G$4,$S305-4,0))</f>
        <v/>
      </c>
      <c r="I305" s="294" t="str">
        <f ca="1">IF(ISERROR($S305),"",OFFSET('Smelter Reference List'!$H$4,$S305-4,0))</f>
        <v/>
      </c>
      <c r="J305" s="294" t="str">
        <f ca="1">IF(ISERROR($S305),"",OFFSET('Smelter Reference List'!$I$4,$S305-4,0))</f>
        <v/>
      </c>
      <c r="K305" s="295"/>
      <c r="L305" s="295"/>
      <c r="M305" s="295"/>
      <c r="N305" s="295"/>
      <c r="O305" s="295"/>
      <c r="P305" s="295"/>
      <c r="Q305" s="296"/>
      <c r="R305" s="227"/>
      <c r="S305" s="228" t="e">
        <f>IF(C305="",NA(),MATCH($B305&amp;$C305,'Smelter Reference List'!$J:$J,0))</f>
        <v>#N/A</v>
      </c>
      <c r="T305" s="229"/>
      <c r="U305" s="229">
        <f t="shared" ca="1" si="10"/>
        <v>0</v>
      </c>
      <c r="V305" s="229"/>
      <c r="W305" s="229"/>
      <c r="Y305" s="223" t="str">
        <f t="shared" si="11"/>
        <v/>
      </c>
    </row>
    <row r="306" spans="1:25" s="223" customFormat="1" ht="20.25">
      <c r="A306" s="291"/>
      <c r="B306" s="292" t="str">
        <f>IF(LEN(A306)=0,"",INDEX('Smelter Reference List'!$A:$A,MATCH($A306,'Smelter Reference List'!$E:$E,0)))</f>
        <v/>
      </c>
      <c r="C306" s="298" t="str">
        <f>IF(LEN(A306)=0,"",INDEX('Smelter Reference List'!$C:$C,MATCH($A306,'Smelter Reference List'!$E:$E,0)))</f>
        <v/>
      </c>
      <c r="D306" s="292" t="str">
        <f ca="1">IF(ISERROR($S306),"",OFFSET('Smelter Reference List'!$C$4,$S306-4,0)&amp;"")</f>
        <v/>
      </c>
      <c r="E306" s="292" t="str">
        <f ca="1">IF(ISERROR($S306),"",OFFSET('Smelter Reference List'!$D$4,$S306-4,0)&amp;"")</f>
        <v/>
      </c>
      <c r="F306" s="292" t="str">
        <f ca="1">IF(ISERROR($S306),"",OFFSET('Smelter Reference List'!$E$4,$S306-4,0))</f>
        <v/>
      </c>
      <c r="G306" s="292" t="str">
        <f ca="1">IF(C306=$U$4,"Enter smelter details", IF(ISERROR($S306),"",OFFSET('Smelter Reference List'!$F$4,$S306-4,0)))</f>
        <v/>
      </c>
      <c r="H306" s="293" t="str">
        <f ca="1">IF(ISERROR($S306),"",OFFSET('Smelter Reference List'!$G$4,$S306-4,0))</f>
        <v/>
      </c>
      <c r="I306" s="294" t="str">
        <f ca="1">IF(ISERROR($S306),"",OFFSET('Smelter Reference List'!$H$4,$S306-4,0))</f>
        <v/>
      </c>
      <c r="J306" s="294" t="str">
        <f ca="1">IF(ISERROR($S306),"",OFFSET('Smelter Reference List'!$I$4,$S306-4,0))</f>
        <v/>
      </c>
      <c r="K306" s="295"/>
      <c r="L306" s="295"/>
      <c r="M306" s="295"/>
      <c r="N306" s="295"/>
      <c r="O306" s="295"/>
      <c r="P306" s="295"/>
      <c r="Q306" s="296"/>
      <c r="R306" s="227"/>
      <c r="S306" s="228" t="e">
        <f>IF(C306="",NA(),MATCH($B306&amp;$C306,'Smelter Reference List'!$J:$J,0))</f>
        <v>#N/A</v>
      </c>
      <c r="T306" s="229"/>
      <c r="U306" s="229">
        <f t="shared" ca="1" si="10"/>
        <v>0</v>
      </c>
      <c r="V306" s="229"/>
      <c r="W306" s="229"/>
      <c r="Y306" s="223" t="str">
        <f t="shared" si="11"/>
        <v/>
      </c>
    </row>
    <row r="307" spans="1:25" s="223" customFormat="1" ht="20.25">
      <c r="A307" s="291"/>
      <c r="B307" s="292" t="str">
        <f>IF(LEN(A307)=0,"",INDEX('Smelter Reference List'!$A:$A,MATCH($A307,'Smelter Reference List'!$E:$E,0)))</f>
        <v/>
      </c>
      <c r="C307" s="298" t="str">
        <f>IF(LEN(A307)=0,"",INDEX('Smelter Reference List'!$C:$C,MATCH($A307,'Smelter Reference List'!$E:$E,0)))</f>
        <v/>
      </c>
      <c r="D307" s="292" t="str">
        <f ca="1">IF(ISERROR($S307),"",OFFSET('Smelter Reference List'!$C$4,$S307-4,0)&amp;"")</f>
        <v/>
      </c>
      <c r="E307" s="292" t="str">
        <f ca="1">IF(ISERROR($S307),"",OFFSET('Smelter Reference List'!$D$4,$S307-4,0)&amp;"")</f>
        <v/>
      </c>
      <c r="F307" s="292" t="str">
        <f ca="1">IF(ISERROR($S307),"",OFFSET('Smelter Reference List'!$E$4,$S307-4,0))</f>
        <v/>
      </c>
      <c r="G307" s="292" t="str">
        <f ca="1">IF(C307=$U$4,"Enter smelter details", IF(ISERROR($S307),"",OFFSET('Smelter Reference List'!$F$4,$S307-4,0)))</f>
        <v/>
      </c>
      <c r="H307" s="293" t="str">
        <f ca="1">IF(ISERROR($S307),"",OFFSET('Smelter Reference List'!$G$4,$S307-4,0))</f>
        <v/>
      </c>
      <c r="I307" s="294" t="str">
        <f ca="1">IF(ISERROR($S307),"",OFFSET('Smelter Reference List'!$H$4,$S307-4,0))</f>
        <v/>
      </c>
      <c r="J307" s="294" t="str">
        <f ca="1">IF(ISERROR($S307),"",OFFSET('Smelter Reference List'!$I$4,$S307-4,0))</f>
        <v/>
      </c>
      <c r="K307" s="295"/>
      <c r="L307" s="295"/>
      <c r="M307" s="295"/>
      <c r="N307" s="295"/>
      <c r="O307" s="295"/>
      <c r="P307" s="295"/>
      <c r="Q307" s="296"/>
      <c r="R307" s="227"/>
      <c r="S307" s="228" t="e">
        <f>IF(C307="",NA(),MATCH($B307&amp;$C307,'Smelter Reference List'!$J:$J,0))</f>
        <v>#N/A</v>
      </c>
      <c r="T307" s="229"/>
      <c r="U307" s="229">
        <f t="shared" ca="1" si="10"/>
        <v>0</v>
      </c>
      <c r="V307" s="229"/>
      <c r="W307" s="229"/>
      <c r="Y307" s="223" t="str">
        <f t="shared" si="11"/>
        <v/>
      </c>
    </row>
    <row r="308" spans="1:25" s="223" customFormat="1" ht="20.25">
      <c r="A308" s="291"/>
      <c r="B308" s="292" t="str">
        <f>IF(LEN(A308)=0,"",INDEX('Smelter Reference List'!$A:$A,MATCH($A308,'Smelter Reference List'!$E:$E,0)))</f>
        <v/>
      </c>
      <c r="C308" s="298" t="str">
        <f>IF(LEN(A308)=0,"",INDEX('Smelter Reference List'!$C:$C,MATCH($A308,'Smelter Reference List'!$E:$E,0)))</f>
        <v/>
      </c>
      <c r="D308" s="292" t="str">
        <f ca="1">IF(ISERROR($S308),"",OFFSET('Smelter Reference List'!$C$4,$S308-4,0)&amp;"")</f>
        <v/>
      </c>
      <c r="E308" s="292" t="str">
        <f ca="1">IF(ISERROR($S308),"",OFFSET('Smelter Reference List'!$D$4,$S308-4,0)&amp;"")</f>
        <v/>
      </c>
      <c r="F308" s="292" t="str">
        <f ca="1">IF(ISERROR($S308),"",OFFSET('Smelter Reference List'!$E$4,$S308-4,0))</f>
        <v/>
      </c>
      <c r="G308" s="292" t="str">
        <f ca="1">IF(C308=$U$4,"Enter smelter details", IF(ISERROR($S308),"",OFFSET('Smelter Reference List'!$F$4,$S308-4,0)))</f>
        <v/>
      </c>
      <c r="H308" s="293" t="str">
        <f ca="1">IF(ISERROR($S308),"",OFFSET('Smelter Reference List'!$G$4,$S308-4,0))</f>
        <v/>
      </c>
      <c r="I308" s="294" t="str">
        <f ca="1">IF(ISERROR($S308),"",OFFSET('Smelter Reference List'!$H$4,$S308-4,0))</f>
        <v/>
      </c>
      <c r="J308" s="294" t="str">
        <f ca="1">IF(ISERROR($S308),"",OFFSET('Smelter Reference List'!$I$4,$S308-4,0))</f>
        <v/>
      </c>
      <c r="K308" s="295"/>
      <c r="L308" s="295"/>
      <c r="M308" s="295"/>
      <c r="N308" s="295"/>
      <c r="O308" s="295"/>
      <c r="P308" s="295"/>
      <c r="Q308" s="296"/>
      <c r="R308" s="227"/>
      <c r="S308" s="228" t="e">
        <f>IF(C308="",NA(),MATCH($B308&amp;$C308,'Smelter Reference List'!$J:$J,0))</f>
        <v>#N/A</v>
      </c>
      <c r="T308" s="229"/>
      <c r="U308" s="229">
        <f t="shared" ca="1" si="10"/>
        <v>0</v>
      </c>
      <c r="V308" s="229"/>
      <c r="W308" s="229"/>
      <c r="Y308" s="223" t="str">
        <f t="shared" si="11"/>
        <v/>
      </c>
    </row>
    <row r="309" spans="1:25" s="223" customFormat="1" ht="20.25">
      <c r="A309" s="291"/>
      <c r="B309" s="292" t="str">
        <f>IF(LEN(A309)=0,"",INDEX('Smelter Reference List'!$A:$A,MATCH($A309,'Smelter Reference List'!$E:$E,0)))</f>
        <v/>
      </c>
      <c r="C309" s="298" t="str">
        <f>IF(LEN(A309)=0,"",INDEX('Smelter Reference List'!$C:$C,MATCH($A309,'Smelter Reference List'!$E:$E,0)))</f>
        <v/>
      </c>
      <c r="D309" s="292" t="str">
        <f ca="1">IF(ISERROR($S309),"",OFFSET('Smelter Reference List'!$C$4,$S309-4,0)&amp;"")</f>
        <v/>
      </c>
      <c r="E309" s="292" t="str">
        <f ca="1">IF(ISERROR($S309),"",OFFSET('Smelter Reference List'!$D$4,$S309-4,0)&amp;"")</f>
        <v/>
      </c>
      <c r="F309" s="292" t="str">
        <f ca="1">IF(ISERROR($S309),"",OFFSET('Smelter Reference List'!$E$4,$S309-4,0))</f>
        <v/>
      </c>
      <c r="G309" s="292" t="str">
        <f ca="1">IF(C309=$U$4,"Enter smelter details", IF(ISERROR($S309),"",OFFSET('Smelter Reference List'!$F$4,$S309-4,0)))</f>
        <v/>
      </c>
      <c r="H309" s="293" t="str">
        <f ca="1">IF(ISERROR($S309),"",OFFSET('Smelter Reference List'!$G$4,$S309-4,0))</f>
        <v/>
      </c>
      <c r="I309" s="294" t="str">
        <f ca="1">IF(ISERROR($S309),"",OFFSET('Smelter Reference List'!$H$4,$S309-4,0))</f>
        <v/>
      </c>
      <c r="J309" s="294" t="str">
        <f ca="1">IF(ISERROR($S309),"",OFFSET('Smelter Reference List'!$I$4,$S309-4,0))</f>
        <v/>
      </c>
      <c r="K309" s="295"/>
      <c r="L309" s="295"/>
      <c r="M309" s="295"/>
      <c r="N309" s="295"/>
      <c r="O309" s="295"/>
      <c r="P309" s="295"/>
      <c r="Q309" s="296"/>
      <c r="R309" s="227"/>
      <c r="S309" s="228" t="e">
        <f>IF(C309="",NA(),MATCH($B309&amp;$C309,'Smelter Reference List'!$J:$J,0))</f>
        <v>#N/A</v>
      </c>
      <c r="T309" s="229"/>
      <c r="U309" s="229">
        <f t="shared" ca="1" si="10"/>
        <v>0</v>
      </c>
      <c r="V309" s="229"/>
      <c r="W309" s="229"/>
      <c r="Y309" s="223" t="str">
        <f t="shared" si="11"/>
        <v/>
      </c>
    </row>
    <row r="310" spans="1:25" s="223" customFormat="1" ht="20.25">
      <c r="A310" s="291"/>
      <c r="B310" s="292" t="str">
        <f>IF(LEN(A310)=0,"",INDEX('Smelter Reference List'!$A:$A,MATCH($A310,'Smelter Reference List'!$E:$E,0)))</f>
        <v/>
      </c>
      <c r="C310" s="298" t="str">
        <f>IF(LEN(A310)=0,"",INDEX('Smelter Reference List'!$C:$C,MATCH($A310,'Smelter Reference List'!$E:$E,0)))</f>
        <v/>
      </c>
      <c r="D310" s="292" t="str">
        <f ca="1">IF(ISERROR($S310),"",OFFSET('Smelter Reference List'!$C$4,$S310-4,0)&amp;"")</f>
        <v/>
      </c>
      <c r="E310" s="292" t="str">
        <f ca="1">IF(ISERROR($S310),"",OFFSET('Smelter Reference List'!$D$4,$S310-4,0)&amp;"")</f>
        <v/>
      </c>
      <c r="F310" s="292" t="str">
        <f ca="1">IF(ISERROR($S310),"",OFFSET('Smelter Reference List'!$E$4,$S310-4,0))</f>
        <v/>
      </c>
      <c r="G310" s="292" t="str">
        <f ca="1">IF(C310=$U$4,"Enter smelter details", IF(ISERROR($S310),"",OFFSET('Smelter Reference List'!$F$4,$S310-4,0)))</f>
        <v/>
      </c>
      <c r="H310" s="293" t="str">
        <f ca="1">IF(ISERROR($S310),"",OFFSET('Smelter Reference List'!$G$4,$S310-4,0))</f>
        <v/>
      </c>
      <c r="I310" s="294" t="str">
        <f ca="1">IF(ISERROR($S310),"",OFFSET('Smelter Reference List'!$H$4,$S310-4,0))</f>
        <v/>
      </c>
      <c r="J310" s="294" t="str">
        <f ca="1">IF(ISERROR($S310),"",OFFSET('Smelter Reference List'!$I$4,$S310-4,0))</f>
        <v/>
      </c>
      <c r="K310" s="295"/>
      <c r="L310" s="295"/>
      <c r="M310" s="295"/>
      <c r="N310" s="295"/>
      <c r="O310" s="295"/>
      <c r="P310" s="295"/>
      <c r="Q310" s="296"/>
      <c r="R310" s="227"/>
      <c r="S310" s="228" t="e">
        <f>IF(C310="",NA(),MATCH($B310&amp;$C310,'Smelter Reference List'!$J:$J,0))</f>
        <v>#N/A</v>
      </c>
      <c r="T310" s="229"/>
      <c r="U310" s="229">
        <f t="shared" ca="1" si="10"/>
        <v>0</v>
      </c>
      <c r="V310" s="229"/>
      <c r="W310" s="229"/>
      <c r="Y310" s="223" t="str">
        <f t="shared" si="11"/>
        <v/>
      </c>
    </row>
    <row r="311" spans="1:25" s="223" customFormat="1" ht="20.25">
      <c r="A311" s="291"/>
      <c r="B311" s="292" t="str">
        <f>IF(LEN(A311)=0,"",INDEX('Smelter Reference List'!$A:$A,MATCH($A311,'Smelter Reference List'!$E:$E,0)))</f>
        <v/>
      </c>
      <c r="C311" s="298" t="str">
        <f>IF(LEN(A311)=0,"",INDEX('Smelter Reference List'!$C:$C,MATCH($A311,'Smelter Reference List'!$E:$E,0)))</f>
        <v/>
      </c>
      <c r="D311" s="292" t="str">
        <f ca="1">IF(ISERROR($S311),"",OFFSET('Smelter Reference List'!$C$4,$S311-4,0)&amp;"")</f>
        <v/>
      </c>
      <c r="E311" s="292" t="str">
        <f ca="1">IF(ISERROR($S311),"",OFFSET('Smelter Reference List'!$D$4,$S311-4,0)&amp;"")</f>
        <v/>
      </c>
      <c r="F311" s="292" t="str">
        <f ca="1">IF(ISERROR($S311),"",OFFSET('Smelter Reference List'!$E$4,$S311-4,0))</f>
        <v/>
      </c>
      <c r="G311" s="292" t="str">
        <f ca="1">IF(C311=$U$4,"Enter smelter details", IF(ISERROR($S311),"",OFFSET('Smelter Reference List'!$F$4,$S311-4,0)))</f>
        <v/>
      </c>
      <c r="H311" s="293" t="str">
        <f ca="1">IF(ISERROR($S311),"",OFFSET('Smelter Reference List'!$G$4,$S311-4,0))</f>
        <v/>
      </c>
      <c r="I311" s="294" t="str">
        <f ca="1">IF(ISERROR($S311),"",OFFSET('Smelter Reference List'!$H$4,$S311-4,0))</f>
        <v/>
      </c>
      <c r="J311" s="294" t="str">
        <f ca="1">IF(ISERROR($S311),"",OFFSET('Smelter Reference List'!$I$4,$S311-4,0))</f>
        <v/>
      </c>
      <c r="K311" s="295"/>
      <c r="L311" s="295"/>
      <c r="M311" s="295"/>
      <c r="N311" s="295"/>
      <c r="O311" s="295"/>
      <c r="P311" s="295"/>
      <c r="Q311" s="296"/>
      <c r="R311" s="227"/>
      <c r="S311" s="228" t="e">
        <f>IF(C311="",NA(),MATCH($B311&amp;$C311,'Smelter Reference List'!$J:$J,0))</f>
        <v>#N/A</v>
      </c>
      <c r="T311" s="229"/>
      <c r="U311" s="229">
        <f t="shared" ca="1" si="10"/>
        <v>0</v>
      </c>
      <c r="V311" s="229"/>
      <c r="W311" s="229"/>
      <c r="Y311" s="223" t="str">
        <f t="shared" si="11"/>
        <v/>
      </c>
    </row>
    <row r="312" spans="1:25" s="223" customFormat="1" ht="20.25">
      <c r="A312" s="291"/>
      <c r="B312" s="292" t="str">
        <f>IF(LEN(A312)=0,"",INDEX('Smelter Reference List'!$A:$A,MATCH($A312,'Smelter Reference List'!$E:$E,0)))</f>
        <v/>
      </c>
      <c r="C312" s="298" t="str">
        <f>IF(LEN(A312)=0,"",INDEX('Smelter Reference List'!$C:$C,MATCH($A312,'Smelter Reference List'!$E:$E,0)))</f>
        <v/>
      </c>
      <c r="D312" s="292" t="str">
        <f ca="1">IF(ISERROR($S312),"",OFFSET('Smelter Reference List'!$C$4,$S312-4,0)&amp;"")</f>
        <v/>
      </c>
      <c r="E312" s="292" t="str">
        <f ca="1">IF(ISERROR($S312),"",OFFSET('Smelter Reference List'!$D$4,$S312-4,0)&amp;"")</f>
        <v/>
      </c>
      <c r="F312" s="292" t="str">
        <f ca="1">IF(ISERROR($S312),"",OFFSET('Smelter Reference List'!$E$4,$S312-4,0))</f>
        <v/>
      </c>
      <c r="G312" s="292" t="str">
        <f ca="1">IF(C312=$U$4,"Enter smelter details", IF(ISERROR($S312),"",OFFSET('Smelter Reference List'!$F$4,$S312-4,0)))</f>
        <v/>
      </c>
      <c r="H312" s="293" t="str">
        <f ca="1">IF(ISERROR($S312),"",OFFSET('Smelter Reference List'!$G$4,$S312-4,0))</f>
        <v/>
      </c>
      <c r="I312" s="294" t="str">
        <f ca="1">IF(ISERROR($S312),"",OFFSET('Smelter Reference List'!$H$4,$S312-4,0))</f>
        <v/>
      </c>
      <c r="J312" s="294" t="str">
        <f ca="1">IF(ISERROR($S312),"",OFFSET('Smelter Reference List'!$I$4,$S312-4,0))</f>
        <v/>
      </c>
      <c r="K312" s="295"/>
      <c r="L312" s="295"/>
      <c r="M312" s="295"/>
      <c r="N312" s="295"/>
      <c r="O312" s="295"/>
      <c r="P312" s="295"/>
      <c r="Q312" s="296"/>
      <c r="R312" s="227"/>
      <c r="S312" s="228" t="e">
        <f>IF(C312="",NA(),MATCH($B312&amp;$C312,'Smelter Reference List'!$J:$J,0))</f>
        <v>#N/A</v>
      </c>
      <c r="T312" s="229"/>
      <c r="U312" s="229">
        <f t="shared" ca="1" si="10"/>
        <v>0</v>
      </c>
      <c r="V312" s="229"/>
      <c r="W312" s="229"/>
      <c r="Y312" s="223" t="str">
        <f t="shared" si="11"/>
        <v/>
      </c>
    </row>
    <row r="313" spans="1:25" s="223" customFormat="1" ht="20.25">
      <c r="A313" s="291"/>
      <c r="B313" s="292" t="str">
        <f>IF(LEN(A313)=0,"",INDEX('Smelter Reference List'!$A:$A,MATCH($A313,'Smelter Reference List'!$E:$E,0)))</f>
        <v/>
      </c>
      <c r="C313" s="298" t="str">
        <f>IF(LEN(A313)=0,"",INDEX('Smelter Reference List'!$C:$C,MATCH($A313,'Smelter Reference List'!$E:$E,0)))</f>
        <v/>
      </c>
      <c r="D313" s="292" t="str">
        <f ca="1">IF(ISERROR($S313),"",OFFSET('Smelter Reference List'!$C$4,$S313-4,0)&amp;"")</f>
        <v/>
      </c>
      <c r="E313" s="292" t="str">
        <f ca="1">IF(ISERROR($S313),"",OFFSET('Smelter Reference List'!$D$4,$S313-4,0)&amp;"")</f>
        <v/>
      </c>
      <c r="F313" s="292" t="str">
        <f ca="1">IF(ISERROR($S313),"",OFFSET('Smelter Reference List'!$E$4,$S313-4,0))</f>
        <v/>
      </c>
      <c r="G313" s="292" t="str">
        <f ca="1">IF(C313=$U$4,"Enter smelter details", IF(ISERROR($S313),"",OFFSET('Smelter Reference List'!$F$4,$S313-4,0)))</f>
        <v/>
      </c>
      <c r="H313" s="293" t="str">
        <f ca="1">IF(ISERROR($S313),"",OFFSET('Smelter Reference List'!$G$4,$S313-4,0))</f>
        <v/>
      </c>
      <c r="I313" s="294" t="str">
        <f ca="1">IF(ISERROR($S313),"",OFFSET('Smelter Reference List'!$H$4,$S313-4,0))</f>
        <v/>
      </c>
      <c r="J313" s="294" t="str">
        <f ca="1">IF(ISERROR($S313),"",OFFSET('Smelter Reference List'!$I$4,$S313-4,0))</f>
        <v/>
      </c>
      <c r="K313" s="295"/>
      <c r="L313" s="295"/>
      <c r="M313" s="295"/>
      <c r="N313" s="295"/>
      <c r="O313" s="295"/>
      <c r="P313" s="295"/>
      <c r="Q313" s="296"/>
      <c r="R313" s="227"/>
      <c r="S313" s="228" t="e">
        <f>IF(C313="",NA(),MATCH($B313&amp;$C313,'Smelter Reference List'!$J:$J,0))</f>
        <v>#N/A</v>
      </c>
      <c r="T313" s="229"/>
      <c r="U313" s="229">
        <f t="shared" ca="1" si="10"/>
        <v>0</v>
      </c>
      <c r="V313" s="229"/>
      <c r="W313" s="229"/>
      <c r="Y313" s="223" t="str">
        <f t="shared" si="11"/>
        <v/>
      </c>
    </row>
    <row r="314" spans="1:25" s="223" customFormat="1" ht="20.25">
      <c r="A314" s="291"/>
      <c r="B314" s="292" t="str">
        <f>IF(LEN(A314)=0,"",INDEX('Smelter Reference List'!$A:$A,MATCH($A314,'Smelter Reference List'!$E:$E,0)))</f>
        <v/>
      </c>
      <c r="C314" s="298" t="str">
        <f>IF(LEN(A314)=0,"",INDEX('Smelter Reference List'!$C:$C,MATCH($A314,'Smelter Reference List'!$E:$E,0)))</f>
        <v/>
      </c>
      <c r="D314" s="292" t="str">
        <f ca="1">IF(ISERROR($S314),"",OFFSET('Smelter Reference List'!$C$4,$S314-4,0)&amp;"")</f>
        <v/>
      </c>
      <c r="E314" s="292" t="str">
        <f ca="1">IF(ISERROR($S314),"",OFFSET('Smelter Reference List'!$D$4,$S314-4,0)&amp;"")</f>
        <v/>
      </c>
      <c r="F314" s="292" t="str">
        <f ca="1">IF(ISERROR($S314),"",OFFSET('Smelter Reference List'!$E$4,$S314-4,0))</f>
        <v/>
      </c>
      <c r="G314" s="292" t="str">
        <f ca="1">IF(C314=$U$4,"Enter smelter details", IF(ISERROR($S314),"",OFFSET('Smelter Reference List'!$F$4,$S314-4,0)))</f>
        <v/>
      </c>
      <c r="H314" s="293" t="str">
        <f ca="1">IF(ISERROR($S314),"",OFFSET('Smelter Reference List'!$G$4,$S314-4,0))</f>
        <v/>
      </c>
      <c r="I314" s="294" t="str">
        <f ca="1">IF(ISERROR($S314),"",OFFSET('Smelter Reference List'!$H$4,$S314-4,0))</f>
        <v/>
      </c>
      <c r="J314" s="294" t="str">
        <f ca="1">IF(ISERROR($S314),"",OFFSET('Smelter Reference List'!$I$4,$S314-4,0))</f>
        <v/>
      </c>
      <c r="K314" s="295"/>
      <c r="L314" s="295"/>
      <c r="M314" s="295"/>
      <c r="N314" s="295"/>
      <c r="O314" s="295"/>
      <c r="P314" s="295"/>
      <c r="Q314" s="296"/>
      <c r="R314" s="227"/>
      <c r="S314" s="228" t="e">
        <f>IF(C314="",NA(),MATCH($B314&amp;$C314,'Smelter Reference List'!$J:$J,0))</f>
        <v>#N/A</v>
      </c>
      <c r="T314" s="229"/>
      <c r="U314" s="229">
        <f t="shared" ca="1" si="10"/>
        <v>0</v>
      </c>
      <c r="V314" s="229"/>
      <c r="W314" s="229"/>
      <c r="Y314" s="223" t="str">
        <f t="shared" si="11"/>
        <v/>
      </c>
    </row>
    <row r="315" spans="1:25" s="223" customFormat="1" ht="20.25">
      <c r="A315" s="291"/>
      <c r="B315" s="292" t="str">
        <f>IF(LEN(A315)=0,"",INDEX('Smelter Reference List'!$A:$A,MATCH($A315,'Smelter Reference List'!$E:$E,0)))</f>
        <v/>
      </c>
      <c r="C315" s="298" t="str">
        <f>IF(LEN(A315)=0,"",INDEX('Smelter Reference List'!$C:$C,MATCH($A315,'Smelter Reference List'!$E:$E,0)))</f>
        <v/>
      </c>
      <c r="D315" s="292" t="str">
        <f ca="1">IF(ISERROR($S315),"",OFFSET('Smelter Reference List'!$C$4,$S315-4,0)&amp;"")</f>
        <v/>
      </c>
      <c r="E315" s="292" t="str">
        <f ca="1">IF(ISERROR($S315),"",OFFSET('Smelter Reference List'!$D$4,$S315-4,0)&amp;"")</f>
        <v/>
      </c>
      <c r="F315" s="292" t="str">
        <f ca="1">IF(ISERROR($S315),"",OFFSET('Smelter Reference List'!$E$4,$S315-4,0))</f>
        <v/>
      </c>
      <c r="G315" s="292" t="str">
        <f ca="1">IF(C315=$U$4,"Enter smelter details", IF(ISERROR($S315),"",OFFSET('Smelter Reference List'!$F$4,$S315-4,0)))</f>
        <v/>
      </c>
      <c r="H315" s="293" t="str">
        <f ca="1">IF(ISERROR($S315),"",OFFSET('Smelter Reference List'!$G$4,$S315-4,0))</f>
        <v/>
      </c>
      <c r="I315" s="294" t="str">
        <f ca="1">IF(ISERROR($S315),"",OFFSET('Smelter Reference List'!$H$4,$S315-4,0))</f>
        <v/>
      </c>
      <c r="J315" s="294" t="str">
        <f ca="1">IF(ISERROR($S315),"",OFFSET('Smelter Reference List'!$I$4,$S315-4,0))</f>
        <v/>
      </c>
      <c r="K315" s="295"/>
      <c r="L315" s="295"/>
      <c r="M315" s="295"/>
      <c r="N315" s="295"/>
      <c r="O315" s="295"/>
      <c r="P315" s="295"/>
      <c r="Q315" s="296"/>
      <c r="R315" s="227"/>
      <c r="S315" s="228" t="e">
        <f>IF(C315="",NA(),MATCH($B315&amp;$C315,'Smelter Reference List'!$J:$J,0))</f>
        <v>#N/A</v>
      </c>
      <c r="T315" s="229"/>
      <c r="U315" s="229">
        <f t="shared" ca="1" si="10"/>
        <v>0</v>
      </c>
      <c r="V315" s="229"/>
      <c r="W315" s="229"/>
      <c r="Y315" s="223" t="str">
        <f t="shared" si="11"/>
        <v/>
      </c>
    </row>
    <row r="316" spans="1:25" s="223" customFormat="1" ht="20.25">
      <c r="A316" s="291"/>
      <c r="B316" s="292" t="str">
        <f>IF(LEN(A316)=0,"",INDEX('Smelter Reference List'!$A:$A,MATCH($A316,'Smelter Reference List'!$E:$E,0)))</f>
        <v/>
      </c>
      <c r="C316" s="298" t="str">
        <f>IF(LEN(A316)=0,"",INDEX('Smelter Reference List'!$C:$C,MATCH($A316,'Smelter Reference List'!$E:$E,0)))</f>
        <v/>
      </c>
      <c r="D316" s="292" t="str">
        <f ca="1">IF(ISERROR($S316),"",OFFSET('Smelter Reference List'!$C$4,$S316-4,0)&amp;"")</f>
        <v/>
      </c>
      <c r="E316" s="292" t="str">
        <f ca="1">IF(ISERROR($S316),"",OFFSET('Smelter Reference List'!$D$4,$S316-4,0)&amp;"")</f>
        <v/>
      </c>
      <c r="F316" s="292" t="str">
        <f ca="1">IF(ISERROR($S316),"",OFFSET('Smelter Reference List'!$E$4,$S316-4,0))</f>
        <v/>
      </c>
      <c r="G316" s="292" t="str">
        <f ca="1">IF(C316=$U$4,"Enter smelter details", IF(ISERROR($S316),"",OFFSET('Smelter Reference List'!$F$4,$S316-4,0)))</f>
        <v/>
      </c>
      <c r="H316" s="293" t="str">
        <f ca="1">IF(ISERROR($S316),"",OFFSET('Smelter Reference List'!$G$4,$S316-4,0))</f>
        <v/>
      </c>
      <c r="I316" s="294" t="str">
        <f ca="1">IF(ISERROR($S316),"",OFFSET('Smelter Reference List'!$H$4,$S316-4,0))</f>
        <v/>
      </c>
      <c r="J316" s="294" t="str">
        <f ca="1">IF(ISERROR($S316),"",OFFSET('Smelter Reference List'!$I$4,$S316-4,0))</f>
        <v/>
      </c>
      <c r="K316" s="295"/>
      <c r="L316" s="295"/>
      <c r="M316" s="295"/>
      <c r="N316" s="295"/>
      <c r="O316" s="295"/>
      <c r="P316" s="295"/>
      <c r="Q316" s="296"/>
      <c r="R316" s="227"/>
      <c r="S316" s="228" t="e">
        <f>IF(C316="",NA(),MATCH($B316&amp;$C316,'Smelter Reference List'!$J:$J,0))</f>
        <v>#N/A</v>
      </c>
      <c r="T316" s="229"/>
      <c r="U316" s="229">
        <f t="shared" ca="1" si="10"/>
        <v>0</v>
      </c>
      <c r="V316" s="229"/>
      <c r="W316" s="229"/>
      <c r="Y316" s="223" t="str">
        <f t="shared" si="11"/>
        <v/>
      </c>
    </row>
    <row r="317" spans="1:25" s="223" customFormat="1" ht="20.25">
      <c r="A317" s="291"/>
      <c r="B317" s="292" t="str">
        <f>IF(LEN(A317)=0,"",INDEX('Smelter Reference List'!$A:$A,MATCH($A317,'Smelter Reference List'!$E:$E,0)))</f>
        <v/>
      </c>
      <c r="C317" s="298" t="str">
        <f>IF(LEN(A317)=0,"",INDEX('Smelter Reference List'!$C:$C,MATCH($A317,'Smelter Reference List'!$E:$E,0)))</f>
        <v/>
      </c>
      <c r="D317" s="292" t="str">
        <f ca="1">IF(ISERROR($S317),"",OFFSET('Smelter Reference List'!$C$4,$S317-4,0)&amp;"")</f>
        <v/>
      </c>
      <c r="E317" s="292" t="str">
        <f ca="1">IF(ISERROR($S317),"",OFFSET('Smelter Reference List'!$D$4,$S317-4,0)&amp;"")</f>
        <v/>
      </c>
      <c r="F317" s="292" t="str">
        <f ca="1">IF(ISERROR($S317),"",OFFSET('Smelter Reference List'!$E$4,$S317-4,0))</f>
        <v/>
      </c>
      <c r="G317" s="292" t="str">
        <f ca="1">IF(C317=$U$4,"Enter smelter details", IF(ISERROR($S317),"",OFFSET('Smelter Reference List'!$F$4,$S317-4,0)))</f>
        <v/>
      </c>
      <c r="H317" s="293" t="str">
        <f ca="1">IF(ISERROR($S317),"",OFFSET('Smelter Reference List'!$G$4,$S317-4,0))</f>
        <v/>
      </c>
      <c r="I317" s="294" t="str">
        <f ca="1">IF(ISERROR($S317),"",OFFSET('Smelter Reference List'!$H$4,$S317-4,0))</f>
        <v/>
      </c>
      <c r="J317" s="294" t="str">
        <f ca="1">IF(ISERROR($S317),"",OFFSET('Smelter Reference List'!$I$4,$S317-4,0))</f>
        <v/>
      </c>
      <c r="K317" s="295"/>
      <c r="L317" s="295"/>
      <c r="M317" s="295"/>
      <c r="N317" s="295"/>
      <c r="O317" s="295"/>
      <c r="P317" s="295"/>
      <c r="Q317" s="296"/>
      <c r="R317" s="227"/>
      <c r="S317" s="228" t="e">
        <f>IF(C317="",NA(),MATCH($B317&amp;$C317,'Smelter Reference List'!$J:$J,0))</f>
        <v>#N/A</v>
      </c>
      <c r="T317" s="229"/>
      <c r="U317" s="229">
        <f t="shared" ca="1" si="10"/>
        <v>0</v>
      </c>
      <c r="V317" s="229"/>
      <c r="W317" s="229"/>
      <c r="Y317" s="223" t="str">
        <f t="shared" si="11"/>
        <v/>
      </c>
    </row>
    <row r="318" spans="1:25" s="223" customFormat="1" ht="20.25">
      <c r="A318" s="291"/>
      <c r="B318" s="292" t="str">
        <f>IF(LEN(A318)=0,"",INDEX('Smelter Reference List'!$A:$A,MATCH($A318,'Smelter Reference List'!$E:$E,0)))</f>
        <v/>
      </c>
      <c r="C318" s="298" t="str">
        <f>IF(LEN(A318)=0,"",INDEX('Smelter Reference List'!$C:$C,MATCH($A318,'Smelter Reference List'!$E:$E,0)))</f>
        <v/>
      </c>
      <c r="D318" s="292" t="str">
        <f ca="1">IF(ISERROR($S318),"",OFFSET('Smelter Reference List'!$C$4,$S318-4,0)&amp;"")</f>
        <v/>
      </c>
      <c r="E318" s="292" t="str">
        <f ca="1">IF(ISERROR($S318),"",OFFSET('Smelter Reference List'!$D$4,$S318-4,0)&amp;"")</f>
        <v/>
      </c>
      <c r="F318" s="292" t="str">
        <f ca="1">IF(ISERROR($S318),"",OFFSET('Smelter Reference List'!$E$4,$S318-4,0))</f>
        <v/>
      </c>
      <c r="G318" s="292" t="str">
        <f ca="1">IF(C318=$U$4,"Enter smelter details", IF(ISERROR($S318),"",OFFSET('Smelter Reference List'!$F$4,$S318-4,0)))</f>
        <v/>
      </c>
      <c r="H318" s="293" t="str">
        <f ca="1">IF(ISERROR($S318),"",OFFSET('Smelter Reference List'!$G$4,$S318-4,0))</f>
        <v/>
      </c>
      <c r="I318" s="294" t="str">
        <f ca="1">IF(ISERROR($S318),"",OFFSET('Smelter Reference List'!$H$4,$S318-4,0))</f>
        <v/>
      </c>
      <c r="J318" s="294" t="str">
        <f ca="1">IF(ISERROR($S318),"",OFFSET('Smelter Reference List'!$I$4,$S318-4,0))</f>
        <v/>
      </c>
      <c r="K318" s="295"/>
      <c r="L318" s="295"/>
      <c r="M318" s="295"/>
      <c r="N318" s="295"/>
      <c r="O318" s="295"/>
      <c r="P318" s="295"/>
      <c r="Q318" s="296"/>
      <c r="R318" s="227"/>
      <c r="S318" s="228" t="e">
        <f>IF(C318="",NA(),MATCH($B318&amp;$C318,'Smelter Reference List'!$J:$J,0))</f>
        <v>#N/A</v>
      </c>
      <c r="T318" s="229"/>
      <c r="U318" s="229">
        <f t="shared" ca="1" si="10"/>
        <v>0</v>
      </c>
      <c r="V318" s="229"/>
      <c r="W318" s="229"/>
      <c r="Y318" s="223" t="str">
        <f t="shared" si="11"/>
        <v/>
      </c>
    </row>
    <row r="319" spans="1:25" s="223" customFormat="1" ht="20.25">
      <c r="A319" s="291"/>
      <c r="B319" s="292" t="str">
        <f>IF(LEN(A319)=0,"",INDEX('Smelter Reference List'!$A:$A,MATCH($A319,'Smelter Reference List'!$E:$E,0)))</f>
        <v/>
      </c>
      <c r="C319" s="298" t="str">
        <f>IF(LEN(A319)=0,"",INDEX('Smelter Reference List'!$C:$C,MATCH($A319,'Smelter Reference List'!$E:$E,0)))</f>
        <v/>
      </c>
      <c r="D319" s="292" t="str">
        <f ca="1">IF(ISERROR($S319),"",OFFSET('Smelter Reference List'!$C$4,$S319-4,0)&amp;"")</f>
        <v/>
      </c>
      <c r="E319" s="292" t="str">
        <f ca="1">IF(ISERROR($S319),"",OFFSET('Smelter Reference List'!$D$4,$S319-4,0)&amp;"")</f>
        <v/>
      </c>
      <c r="F319" s="292" t="str">
        <f ca="1">IF(ISERROR($S319),"",OFFSET('Smelter Reference List'!$E$4,$S319-4,0))</f>
        <v/>
      </c>
      <c r="G319" s="292" t="str">
        <f ca="1">IF(C319=$U$4,"Enter smelter details", IF(ISERROR($S319),"",OFFSET('Smelter Reference List'!$F$4,$S319-4,0)))</f>
        <v/>
      </c>
      <c r="H319" s="293" t="str">
        <f ca="1">IF(ISERROR($S319),"",OFFSET('Smelter Reference List'!$G$4,$S319-4,0))</f>
        <v/>
      </c>
      <c r="I319" s="294" t="str">
        <f ca="1">IF(ISERROR($S319),"",OFFSET('Smelter Reference List'!$H$4,$S319-4,0))</f>
        <v/>
      </c>
      <c r="J319" s="294" t="str">
        <f ca="1">IF(ISERROR($S319),"",OFFSET('Smelter Reference List'!$I$4,$S319-4,0))</f>
        <v/>
      </c>
      <c r="K319" s="295"/>
      <c r="L319" s="295"/>
      <c r="M319" s="295"/>
      <c r="N319" s="295"/>
      <c r="O319" s="295"/>
      <c r="P319" s="295"/>
      <c r="Q319" s="296"/>
      <c r="R319" s="227"/>
      <c r="S319" s="228" t="e">
        <f>IF(C319="",NA(),MATCH($B319&amp;$C319,'Smelter Reference List'!$J:$J,0))</f>
        <v>#N/A</v>
      </c>
      <c r="T319" s="229"/>
      <c r="U319" s="229">
        <f t="shared" ca="1" si="10"/>
        <v>0</v>
      </c>
      <c r="V319" s="229"/>
      <c r="W319" s="229"/>
      <c r="Y319" s="223" t="str">
        <f t="shared" si="11"/>
        <v/>
      </c>
    </row>
    <row r="320" spans="1:25" s="223" customFormat="1" ht="20.25">
      <c r="A320" s="291"/>
      <c r="B320" s="292" t="str">
        <f>IF(LEN(A320)=0,"",INDEX('Smelter Reference List'!$A:$A,MATCH($A320,'Smelter Reference List'!$E:$E,0)))</f>
        <v/>
      </c>
      <c r="C320" s="298" t="str">
        <f>IF(LEN(A320)=0,"",INDEX('Smelter Reference List'!$C:$C,MATCH($A320,'Smelter Reference List'!$E:$E,0)))</f>
        <v/>
      </c>
      <c r="D320" s="292" t="str">
        <f ca="1">IF(ISERROR($S320),"",OFFSET('Smelter Reference List'!$C$4,$S320-4,0)&amp;"")</f>
        <v/>
      </c>
      <c r="E320" s="292" t="str">
        <f ca="1">IF(ISERROR($S320),"",OFFSET('Smelter Reference List'!$D$4,$S320-4,0)&amp;"")</f>
        <v/>
      </c>
      <c r="F320" s="292" t="str">
        <f ca="1">IF(ISERROR($S320),"",OFFSET('Smelter Reference List'!$E$4,$S320-4,0))</f>
        <v/>
      </c>
      <c r="G320" s="292" t="str">
        <f ca="1">IF(C320=$U$4,"Enter smelter details", IF(ISERROR($S320),"",OFFSET('Smelter Reference List'!$F$4,$S320-4,0)))</f>
        <v/>
      </c>
      <c r="H320" s="293" t="str">
        <f ca="1">IF(ISERROR($S320),"",OFFSET('Smelter Reference List'!$G$4,$S320-4,0))</f>
        <v/>
      </c>
      <c r="I320" s="294" t="str">
        <f ca="1">IF(ISERROR($S320),"",OFFSET('Smelter Reference List'!$H$4,$S320-4,0))</f>
        <v/>
      </c>
      <c r="J320" s="294" t="str">
        <f ca="1">IF(ISERROR($S320),"",OFFSET('Smelter Reference List'!$I$4,$S320-4,0))</f>
        <v/>
      </c>
      <c r="K320" s="295"/>
      <c r="L320" s="295"/>
      <c r="M320" s="295"/>
      <c r="N320" s="295"/>
      <c r="O320" s="295"/>
      <c r="P320" s="295"/>
      <c r="Q320" s="296"/>
      <c r="R320" s="227"/>
      <c r="S320" s="228" t="e">
        <f>IF(C320="",NA(),MATCH($B320&amp;$C320,'Smelter Reference List'!$J:$J,0))</f>
        <v>#N/A</v>
      </c>
      <c r="T320" s="229"/>
      <c r="U320" s="229">
        <f t="shared" ca="1" si="10"/>
        <v>0</v>
      </c>
      <c r="V320" s="229"/>
      <c r="W320" s="229"/>
      <c r="Y320" s="223" t="str">
        <f t="shared" si="11"/>
        <v/>
      </c>
    </row>
    <row r="321" spans="1:25" s="223" customFormat="1" ht="20.25">
      <c r="A321" s="291"/>
      <c r="B321" s="292" t="str">
        <f>IF(LEN(A321)=0,"",INDEX('Smelter Reference List'!$A:$A,MATCH($A321,'Smelter Reference List'!$E:$E,0)))</f>
        <v/>
      </c>
      <c r="C321" s="298" t="str">
        <f>IF(LEN(A321)=0,"",INDEX('Smelter Reference List'!$C:$C,MATCH($A321,'Smelter Reference List'!$E:$E,0)))</f>
        <v/>
      </c>
      <c r="D321" s="292" t="str">
        <f ca="1">IF(ISERROR($S321),"",OFFSET('Smelter Reference List'!$C$4,$S321-4,0)&amp;"")</f>
        <v/>
      </c>
      <c r="E321" s="292" t="str">
        <f ca="1">IF(ISERROR($S321),"",OFFSET('Smelter Reference List'!$D$4,$S321-4,0)&amp;"")</f>
        <v/>
      </c>
      <c r="F321" s="292" t="str">
        <f ca="1">IF(ISERROR($S321),"",OFFSET('Smelter Reference List'!$E$4,$S321-4,0))</f>
        <v/>
      </c>
      <c r="G321" s="292" t="str">
        <f ca="1">IF(C321=$U$4,"Enter smelter details", IF(ISERROR($S321),"",OFFSET('Smelter Reference List'!$F$4,$S321-4,0)))</f>
        <v/>
      </c>
      <c r="H321" s="293" t="str">
        <f ca="1">IF(ISERROR($S321),"",OFFSET('Smelter Reference List'!$G$4,$S321-4,0))</f>
        <v/>
      </c>
      <c r="I321" s="294" t="str">
        <f ca="1">IF(ISERROR($S321),"",OFFSET('Smelter Reference List'!$H$4,$S321-4,0))</f>
        <v/>
      </c>
      <c r="J321" s="294" t="str">
        <f ca="1">IF(ISERROR($S321),"",OFFSET('Smelter Reference List'!$I$4,$S321-4,0))</f>
        <v/>
      </c>
      <c r="K321" s="295"/>
      <c r="L321" s="295"/>
      <c r="M321" s="295"/>
      <c r="N321" s="295"/>
      <c r="O321" s="295"/>
      <c r="P321" s="295"/>
      <c r="Q321" s="296"/>
      <c r="R321" s="227"/>
      <c r="S321" s="228" t="e">
        <f>IF(C321="",NA(),MATCH($B321&amp;$C321,'Smelter Reference List'!$J:$J,0))</f>
        <v>#N/A</v>
      </c>
      <c r="T321" s="229"/>
      <c r="U321" s="229">
        <f t="shared" ca="1" si="10"/>
        <v>0</v>
      </c>
      <c r="V321" s="229"/>
      <c r="W321" s="229"/>
      <c r="Y321" s="223" t="str">
        <f t="shared" si="11"/>
        <v/>
      </c>
    </row>
    <row r="322" spans="1:25" s="223" customFormat="1" ht="20.25">
      <c r="A322" s="291"/>
      <c r="B322" s="292" t="str">
        <f>IF(LEN(A322)=0,"",INDEX('Smelter Reference List'!$A:$A,MATCH($A322,'Smelter Reference List'!$E:$E,0)))</f>
        <v/>
      </c>
      <c r="C322" s="298" t="str">
        <f>IF(LEN(A322)=0,"",INDEX('Smelter Reference List'!$C:$C,MATCH($A322,'Smelter Reference List'!$E:$E,0)))</f>
        <v/>
      </c>
      <c r="D322" s="292" t="str">
        <f ca="1">IF(ISERROR($S322),"",OFFSET('Smelter Reference List'!$C$4,$S322-4,0)&amp;"")</f>
        <v/>
      </c>
      <c r="E322" s="292" t="str">
        <f ca="1">IF(ISERROR($S322),"",OFFSET('Smelter Reference List'!$D$4,$S322-4,0)&amp;"")</f>
        <v/>
      </c>
      <c r="F322" s="292" t="str">
        <f ca="1">IF(ISERROR($S322),"",OFFSET('Smelter Reference List'!$E$4,$S322-4,0))</f>
        <v/>
      </c>
      <c r="G322" s="292" t="str">
        <f ca="1">IF(C322=$U$4,"Enter smelter details", IF(ISERROR($S322),"",OFFSET('Smelter Reference List'!$F$4,$S322-4,0)))</f>
        <v/>
      </c>
      <c r="H322" s="293" t="str">
        <f ca="1">IF(ISERROR($S322),"",OFFSET('Smelter Reference List'!$G$4,$S322-4,0))</f>
        <v/>
      </c>
      <c r="I322" s="294" t="str">
        <f ca="1">IF(ISERROR($S322),"",OFFSET('Smelter Reference List'!$H$4,$S322-4,0))</f>
        <v/>
      </c>
      <c r="J322" s="294" t="str">
        <f ca="1">IF(ISERROR($S322),"",OFFSET('Smelter Reference List'!$I$4,$S322-4,0))</f>
        <v/>
      </c>
      <c r="K322" s="295"/>
      <c r="L322" s="295"/>
      <c r="M322" s="295"/>
      <c r="N322" s="295"/>
      <c r="O322" s="295"/>
      <c r="P322" s="295"/>
      <c r="Q322" s="296"/>
      <c r="R322" s="227"/>
      <c r="S322" s="228" t="e">
        <f>IF(C322="",NA(),MATCH($B322&amp;$C322,'Smelter Reference List'!$J:$J,0))</f>
        <v>#N/A</v>
      </c>
      <c r="T322" s="229"/>
      <c r="U322" s="229">
        <f t="shared" ca="1" si="10"/>
        <v>0</v>
      </c>
      <c r="V322" s="229"/>
      <c r="W322" s="229"/>
      <c r="Y322" s="223" t="str">
        <f t="shared" si="11"/>
        <v/>
      </c>
    </row>
    <row r="323" spans="1:25" s="223" customFormat="1" ht="20.25">
      <c r="A323" s="291"/>
      <c r="B323" s="292" t="str">
        <f>IF(LEN(A323)=0,"",INDEX('Smelter Reference List'!$A:$A,MATCH($A323,'Smelter Reference List'!$E:$E,0)))</f>
        <v/>
      </c>
      <c r="C323" s="298" t="str">
        <f>IF(LEN(A323)=0,"",INDEX('Smelter Reference List'!$C:$C,MATCH($A323,'Smelter Reference List'!$E:$E,0)))</f>
        <v/>
      </c>
      <c r="D323" s="292" t="str">
        <f ca="1">IF(ISERROR($S323),"",OFFSET('Smelter Reference List'!$C$4,$S323-4,0)&amp;"")</f>
        <v/>
      </c>
      <c r="E323" s="292" t="str">
        <f ca="1">IF(ISERROR($S323),"",OFFSET('Smelter Reference List'!$D$4,$S323-4,0)&amp;"")</f>
        <v/>
      </c>
      <c r="F323" s="292" t="str">
        <f ca="1">IF(ISERROR($S323),"",OFFSET('Smelter Reference List'!$E$4,$S323-4,0))</f>
        <v/>
      </c>
      <c r="G323" s="292" t="str">
        <f ca="1">IF(C323=$U$4,"Enter smelter details", IF(ISERROR($S323),"",OFFSET('Smelter Reference List'!$F$4,$S323-4,0)))</f>
        <v/>
      </c>
      <c r="H323" s="293" t="str">
        <f ca="1">IF(ISERROR($S323),"",OFFSET('Smelter Reference List'!$G$4,$S323-4,0))</f>
        <v/>
      </c>
      <c r="I323" s="294" t="str">
        <f ca="1">IF(ISERROR($S323),"",OFFSET('Smelter Reference List'!$H$4,$S323-4,0))</f>
        <v/>
      </c>
      <c r="J323" s="294" t="str">
        <f ca="1">IF(ISERROR($S323),"",OFFSET('Smelter Reference List'!$I$4,$S323-4,0))</f>
        <v/>
      </c>
      <c r="K323" s="295"/>
      <c r="L323" s="295"/>
      <c r="M323" s="295"/>
      <c r="N323" s="295"/>
      <c r="O323" s="295"/>
      <c r="P323" s="295"/>
      <c r="Q323" s="296"/>
      <c r="R323" s="227"/>
      <c r="S323" s="228" t="e">
        <f>IF(C323="",NA(),MATCH($B323&amp;$C323,'Smelter Reference List'!$J:$J,0))</f>
        <v>#N/A</v>
      </c>
      <c r="T323" s="229"/>
      <c r="U323" s="229">
        <f t="shared" ca="1" si="10"/>
        <v>0</v>
      </c>
      <c r="V323" s="229"/>
      <c r="W323" s="229"/>
      <c r="Y323" s="223" t="str">
        <f t="shared" si="11"/>
        <v/>
      </c>
    </row>
    <row r="324" spans="1:25" s="223" customFormat="1" ht="20.25">
      <c r="A324" s="291"/>
      <c r="B324" s="292" t="str">
        <f>IF(LEN(A324)=0,"",INDEX('Smelter Reference List'!$A:$A,MATCH($A324,'Smelter Reference List'!$E:$E,0)))</f>
        <v/>
      </c>
      <c r="C324" s="298" t="str">
        <f>IF(LEN(A324)=0,"",INDEX('Smelter Reference List'!$C:$C,MATCH($A324,'Smelter Reference List'!$E:$E,0)))</f>
        <v/>
      </c>
      <c r="D324" s="292" t="str">
        <f ca="1">IF(ISERROR($S324),"",OFFSET('Smelter Reference List'!$C$4,$S324-4,0)&amp;"")</f>
        <v/>
      </c>
      <c r="E324" s="292" t="str">
        <f ca="1">IF(ISERROR($S324),"",OFFSET('Smelter Reference List'!$D$4,$S324-4,0)&amp;"")</f>
        <v/>
      </c>
      <c r="F324" s="292" t="str">
        <f ca="1">IF(ISERROR($S324),"",OFFSET('Smelter Reference List'!$E$4,$S324-4,0))</f>
        <v/>
      </c>
      <c r="G324" s="292" t="str">
        <f ca="1">IF(C324=$U$4,"Enter smelter details", IF(ISERROR($S324),"",OFFSET('Smelter Reference List'!$F$4,$S324-4,0)))</f>
        <v/>
      </c>
      <c r="H324" s="293" t="str">
        <f ca="1">IF(ISERROR($S324),"",OFFSET('Smelter Reference List'!$G$4,$S324-4,0))</f>
        <v/>
      </c>
      <c r="I324" s="294" t="str">
        <f ca="1">IF(ISERROR($S324),"",OFFSET('Smelter Reference List'!$H$4,$S324-4,0))</f>
        <v/>
      </c>
      <c r="J324" s="294" t="str">
        <f ca="1">IF(ISERROR($S324),"",OFFSET('Smelter Reference List'!$I$4,$S324-4,0))</f>
        <v/>
      </c>
      <c r="K324" s="295"/>
      <c r="L324" s="295"/>
      <c r="M324" s="295"/>
      <c r="N324" s="295"/>
      <c r="O324" s="295"/>
      <c r="P324" s="295"/>
      <c r="Q324" s="296"/>
      <c r="R324" s="227"/>
      <c r="S324" s="228" t="e">
        <f>IF(C324="",NA(),MATCH($B324&amp;$C324,'Smelter Reference List'!$J:$J,0))</f>
        <v>#N/A</v>
      </c>
      <c r="T324" s="229"/>
      <c r="U324" s="229">
        <f t="shared" ca="1" si="10"/>
        <v>0</v>
      </c>
      <c r="V324" s="229"/>
      <c r="W324" s="229"/>
      <c r="Y324" s="223" t="str">
        <f t="shared" si="11"/>
        <v/>
      </c>
    </row>
    <row r="325" spans="1:25" s="223" customFormat="1" ht="20.25">
      <c r="A325" s="291"/>
      <c r="B325" s="292" t="str">
        <f>IF(LEN(A325)=0,"",INDEX('Smelter Reference List'!$A:$A,MATCH($A325,'Smelter Reference List'!$E:$E,0)))</f>
        <v/>
      </c>
      <c r="C325" s="298" t="str">
        <f>IF(LEN(A325)=0,"",INDEX('Smelter Reference List'!$C:$C,MATCH($A325,'Smelter Reference List'!$E:$E,0)))</f>
        <v/>
      </c>
      <c r="D325" s="292" t="str">
        <f ca="1">IF(ISERROR($S325),"",OFFSET('Smelter Reference List'!$C$4,$S325-4,0)&amp;"")</f>
        <v/>
      </c>
      <c r="E325" s="292" t="str">
        <f ca="1">IF(ISERROR($S325),"",OFFSET('Smelter Reference List'!$D$4,$S325-4,0)&amp;"")</f>
        <v/>
      </c>
      <c r="F325" s="292" t="str">
        <f ca="1">IF(ISERROR($S325),"",OFFSET('Smelter Reference List'!$E$4,$S325-4,0))</f>
        <v/>
      </c>
      <c r="G325" s="292" t="str">
        <f ca="1">IF(C325=$U$4,"Enter smelter details", IF(ISERROR($S325),"",OFFSET('Smelter Reference List'!$F$4,$S325-4,0)))</f>
        <v/>
      </c>
      <c r="H325" s="293" t="str">
        <f ca="1">IF(ISERROR($S325),"",OFFSET('Smelter Reference List'!$G$4,$S325-4,0))</f>
        <v/>
      </c>
      <c r="I325" s="294" t="str">
        <f ca="1">IF(ISERROR($S325),"",OFFSET('Smelter Reference List'!$H$4,$S325-4,0))</f>
        <v/>
      </c>
      <c r="J325" s="294" t="str">
        <f ca="1">IF(ISERROR($S325),"",OFFSET('Smelter Reference List'!$I$4,$S325-4,0))</f>
        <v/>
      </c>
      <c r="K325" s="295"/>
      <c r="L325" s="295"/>
      <c r="M325" s="295"/>
      <c r="N325" s="295"/>
      <c r="O325" s="295"/>
      <c r="P325" s="295"/>
      <c r="Q325" s="296"/>
      <c r="R325" s="227"/>
      <c r="S325" s="228" t="e">
        <f>IF(C325="",NA(),MATCH($B325&amp;$C325,'Smelter Reference List'!$J:$J,0))</f>
        <v>#N/A</v>
      </c>
      <c r="T325" s="229"/>
      <c r="U325" s="229">
        <f t="shared" ref="U325:U388" ca="1" si="12">IF(AND(C325="Smelter not listed",OR(LEN(D325)=0,LEN(E325)=0)),1,0)</f>
        <v>0</v>
      </c>
      <c r="V325" s="229"/>
      <c r="W325" s="229"/>
      <c r="Y325" s="223" t="str">
        <f t="shared" ref="Y325:Y388" si="13">B325&amp;C325</f>
        <v/>
      </c>
    </row>
    <row r="326" spans="1:25" s="223" customFormat="1" ht="20.25">
      <c r="A326" s="291"/>
      <c r="B326" s="292" t="str">
        <f>IF(LEN(A326)=0,"",INDEX('Smelter Reference List'!$A:$A,MATCH($A326,'Smelter Reference List'!$E:$E,0)))</f>
        <v/>
      </c>
      <c r="C326" s="298" t="str">
        <f>IF(LEN(A326)=0,"",INDEX('Smelter Reference List'!$C:$C,MATCH($A326,'Smelter Reference List'!$E:$E,0)))</f>
        <v/>
      </c>
      <c r="D326" s="292" t="str">
        <f ca="1">IF(ISERROR($S326),"",OFFSET('Smelter Reference List'!$C$4,$S326-4,0)&amp;"")</f>
        <v/>
      </c>
      <c r="E326" s="292" t="str">
        <f ca="1">IF(ISERROR($S326),"",OFFSET('Smelter Reference List'!$D$4,$S326-4,0)&amp;"")</f>
        <v/>
      </c>
      <c r="F326" s="292" t="str">
        <f ca="1">IF(ISERROR($S326),"",OFFSET('Smelter Reference List'!$E$4,$S326-4,0))</f>
        <v/>
      </c>
      <c r="G326" s="292" t="str">
        <f ca="1">IF(C326=$U$4,"Enter smelter details", IF(ISERROR($S326),"",OFFSET('Smelter Reference List'!$F$4,$S326-4,0)))</f>
        <v/>
      </c>
      <c r="H326" s="293" t="str">
        <f ca="1">IF(ISERROR($S326),"",OFFSET('Smelter Reference List'!$G$4,$S326-4,0))</f>
        <v/>
      </c>
      <c r="I326" s="294" t="str">
        <f ca="1">IF(ISERROR($S326),"",OFFSET('Smelter Reference List'!$H$4,$S326-4,0))</f>
        <v/>
      </c>
      <c r="J326" s="294" t="str">
        <f ca="1">IF(ISERROR($S326),"",OFFSET('Smelter Reference List'!$I$4,$S326-4,0))</f>
        <v/>
      </c>
      <c r="K326" s="295"/>
      <c r="L326" s="295"/>
      <c r="M326" s="295"/>
      <c r="N326" s="295"/>
      <c r="O326" s="295"/>
      <c r="P326" s="295"/>
      <c r="Q326" s="296"/>
      <c r="R326" s="227"/>
      <c r="S326" s="228" t="e">
        <f>IF(C326="",NA(),MATCH($B326&amp;$C326,'Smelter Reference List'!$J:$J,0))</f>
        <v>#N/A</v>
      </c>
      <c r="T326" s="229"/>
      <c r="U326" s="229">
        <f t="shared" ca="1" si="12"/>
        <v>0</v>
      </c>
      <c r="V326" s="229"/>
      <c r="W326" s="229"/>
      <c r="Y326" s="223" t="str">
        <f t="shared" si="13"/>
        <v/>
      </c>
    </row>
    <row r="327" spans="1:25" s="223" customFormat="1" ht="20.25">
      <c r="A327" s="291"/>
      <c r="B327" s="292" t="str">
        <f>IF(LEN(A327)=0,"",INDEX('Smelter Reference List'!$A:$A,MATCH($A327,'Smelter Reference List'!$E:$E,0)))</f>
        <v/>
      </c>
      <c r="C327" s="298" t="str">
        <f>IF(LEN(A327)=0,"",INDEX('Smelter Reference List'!$C:$C,MATCH($A327,'Smelter Reference List'!$E:$E,0)))</f>
        <v/>
      </c>
      <c r="D327" s="292" t="str">
        <f ca="1">IF(ISERROR($S327),"",OFFSET('Smelter Reference List'!$C$4,$S327-4,0)&amp;"")</f>
        <v/>
      </c>
      <c r="E327" s="292" t="str">
        <f ca="1">IF(ISERROR($S327),"",OFFSET('Smelter Reference List'!$D$4,$S327-4,0)&amp;"")</f>
        <v/>
      </c>
      <c r="F327" s="292" t="str">
        <f ca="1">IF(ISERROR($S327),"",OFFSET('Smelter Reference List'!$E$4,$S327-4,0))</f>
        <v/>
      </c>
      <c r="G327" s="292" t="str">
        <f ca="1">IF(C327=$U$4,"Enter smelter details", IF(ISERROR($S327),"",OFFSET('Smelter Reference List'!$F$4,$S327-4,0)))</f>
        <v/>
      </c>
      <c r="H327" s="293" t="str">
        <f ca="1">IF(ISERROR($S327),"",OFFSET('Smelter Reference List'!$G$4,$S327-4,0))</f>
        <v/>
      </c>
      <c r="I327" s="294" t="str">
        <f ca="1">IF(ISERROR($S327),"",OFFSET('Smelter Reference List'!$H$4,$S327-4,0))</f>
        <v/>
      </c>
      <c r="J327" s="294" t="str">
        <f ca="1">IF(ISERROR($S327),"",OFFSET('Smelter Reference List'!$I$4,$S327-4,0))</f>
        <v/>
      </c>
      <c r="K327" s="295"/>
      <c r="L327" s="295"/>
      <c r="M327" s="295"/>
      <c r="N327" s="295"/>
      <c r="O327" s="295"/>
      <c r="P327" s="295"/>
      <c r="Q327" s="296"/>
      <c r="R327" s="227"/>
      <c r="S327" s="228" t="e">
        <f>IF(C327="",NA(),MATCH($B327&amp;$C327,'Smelter Reference List'!$J:$J,0))</f>
        <v>#N/A</v>
      </c>
      <c r="T327" s="229"/>
      <c r="U327" s="229">
        <f t="shared" ca="1" si="12"/>
        <v>0</v>
      </c>
      <c r="V327" s="229"/>
      <c r="W327" s="229"/>
      <c r="Y327" s="223" t="str">
        <f t="shared" si="13"/>
        <v/>
      </c>
    </row>
    <row r="328" spans="1:25" s="223" customFormat="1" ht="20.25">
      <c r="A328" s="291"/>
      <c r="B328" s="292" t="str">
        <f>IF(LEN(A328)=0,"",INDEX('Smelter Reference List'!$A:$A,MATCH($A328,'Smelter Reference List'!$E:$E,0)))</f>
        <v/>
      </c>
      <c r="C328" s="298" t="str">
        <f>IF(LEN(A328)=0,"",INDEX('Smelter Reference List'!$C:$C,MATCH($A328,'Smelter Reference List'!$E:$E,0)))</f>
        <v/>
      </c>
      <c r="D328" s="292" t="str">
        <f ca="1">IF(ISERROR($S328),"",OFFSET('Smelter Reference List'!$C$4,$S328-4,0)&amp;"")</f>
        <v/>
      </c>
      <c r="E328" s="292" t="str">
        <f ca="1">IF(ISERROR($S328),"",OFFSET('Smelter Reference List'!$D$4,$S328-4,0)&amp;"")</f>
        <v/>
      </c>
      <c r="F328" s="292" t="str">
        <f ca="1">IF(ISERROR($S328),"",OFFSET('Smelter Reference List'!$E$4,$S328-4,0))</f>
        <v/>
      </c>
      <c r="G328" s="292" t="str">
        <f ca="1">IF(C328=$U$4,"Enter smelter details", IF(ISERROR($S328),"",OFFSET('Smelter Reference List'!$F$4,$S328-4,0)))</f>
        <v/>
      </c>
      <c r="H328" s="293" t="str">
        <f ca="1">IF(ISERROR($S328),"",OFFSET('Smelter Reference List'!$G$4,$S328-4,0))</f>
        <v/>
      </c>
      <c r="I328" s="294" t="str">
        <f ca="1">IF(ISERROR($S328),"",OFFSET('Smelter Reference List'!$H$4,$S328-4,0))</f>
        <v/>
      </c>
      <c r="J328" s="294" t="str">
        <f ca="1">IF(ISERROR($S328),"",OFFSET('Smelter Reference List'!$I$4,$S328-4,0))</f>
        <v/>
      </c>
      <c r="K328" s="295"/>
      <c r="L328" s="295"/>
      <c r="M328" s="295"/>
      <c r="N328" s="295"/>
      <c r="O328" s="295"/>
      <c r="P328" s="295"/>
      <c r="Q328" s="296"/>
      <c r="R328" s="227"/>
      <c r="S328" s="228" t="e">
        <f>IF(C328="",NA(),MATCH($B328&amp;$C328,'Smelter Reference List'!$J:$J,0))</f>
        <v>#N/A</v>
      </c>
      <c r="T328" s="229"/>
      <c r="U328" s="229">
        <f t="shared" ca="1" si="12"/>
        <v>0</v>
      </c>
      <c r="V328" s="229"/>
      <c r="W328" s="229"/>
      <c r="Y328" s="223" t="str">
        <f t="shared" si="13"/>
        <v/>
      </c>
    </row>
    <row r="329" spans="1:25" s="223" customFormat="1" ht="20.25">
      <c r="A329" s="291"/>
      <c r="B329" s="292" t="str">
        <f>IF(LEN(A329)=0,"",INDEX('Smelter Reference List'!$A:$A,MATCH($A329,'Smelter Reference List'!$E:$E,0)))</f>
        <v/>
      </c>
      <c r="C329" s="298" t="str">
        <f>IF(LEN(A329)=0,"",INDEX('Smelter Reference List'!$C:$C,MATCH($A329,'Smelter Reference List'!$E:$E,0)))</f>
        <v/>
      </c>
      <c r="D329" s="292" t="str">
        <f ca="1">IF(ISERROR($S329),"",OFFSET('Smelter Reference List'!$C$4,$S329-4,0)&amp;"")</f>
        <v/>
      </c>
      <c r="E329" s="292" t="str">
        <f ca="1">IF(ISERROR($S329),"",OFFSET('Smelter Reference List'!$D$4,$S329-4,0)&amp;"")</f>
        <v/>
      </c>
      <c r="F329" s="292" t="str">
        <f ca="1">IF(ISERROR($S329),"",OFFSET('Smelter Reference List'!$E$4,$S329-4,0))</f>
        <v/>
      </c>
      <c r="G329" s="292" t="str">
        <f ca="1">IF(C329=$U$4,"Enter smelter details", IF(ISERROR($S329),"",OFFSET('Smelter Reference List'!$F$4,$S329-4,0)))</f>
        <v/>
      </c>
      <c r="H329" s="293" t="str">
        <f ca="1">IF(ISERROR($S329),"",OFFSET('Smelter Reference List'!$G$4,$S329-4,0))</f>
        <v/>
      </c>
      <c r="I329" s="294" t="str">
        <f ca="1">IF(ISERROR($S329),"",OFFSET('Smelter Reference List'!$H$4,$S329-4,0))</f>
        <v/>
      </c>
      <c r="J329" s="294" t="str">
        <f ca="1">IF(ISERROR($S329),"",OFFSET('Smelter Reference List'!$I$4,$S329-4,0))</f>
        <v/>
      </c>
      <c r="K329" s="295"/>
      <c r="L329" s="295"/>
      <c r="M329" s="295"/>
      <c r="N329" s="295"/>
      <c r="O329" s="295"/>
      <c r="P329" s="295"/>
      <c r="Q329" s="296"/>
      <c r="R329" s="227"/>
      <c r="S329" s="228" t="e">
        <f>IF(C329="",NA(),MATCH($B329&amp;$C329,'Smelter Reference List'!$J:$J,0))</f>
        <v>#N/A</v>
      </c>
      <c r="T329" s="229"/>
      <c r="U329" s="229">
        <f t="shared" ca="1" si="12"/>
        <v>0</v>
      </c>
      <c r="V329" s="229"/>
      <c r="W329" s="229"/>
      <c r="Y329" s="223" t="str">
        <f t="shared" si="13"/>
        <v/>
      </c>
    </row>
    <row r="330" spans="1:25" s="223" customFormat="1" ht="20.25">
      <c r="A330" s="291"/>
      <c r="B330" s="292" t="str">
        <f>IF(LEN(A330)=0,"",INDEX('Smelter Reference List'!$A:$A,MATCH($A330,'Smelter Reference List'!$E:$E,0)))</f>
        <v/>
      </c>
      <c r="C330" s="298" t="str">
        <f>IF(LEN(A330)=0,"",INDEX('Smelter Reference List'!$C:$C,MATCH($A330,'Smelter Reference List'!$E:$E,0)))</f>
        <v/>
      </c>
      <c r="D330" s="292" t="str">
        <f ca="1">IF(ISERROR($S330),"",OFFSET('Smelter Reference List'!$C$4,$S330-4,0)&amp;"")</f>
        <v/>
      </c>
      <c r="E330" s="292" t="str">
        <f ca="1">IF(ISERROR($S330),"",OFFSET('Smelter Reference List'!$D$4,$S330-4,0)&amp;"")</f>
        <v/>
      </c>
      <c r="F330" s="292" t="str">
        <f ca="1">IF(ISERROR($S330),"",OFFSET('Smelter Reference List'!$E$4,$S330-4,0))</f>
        <v/>
      </c>
      <c r="G330" s="292" t="str">
        <f ca="1">IF(C330=$U$4,"Enter smelter details", IF(ISERROR($S330),"",OFFSET('Smelter Reference List'!$F$4,$S330-4,0)))</f>
        <v/>
      </c>
      <c r="H330" s="293" t="str">
        <f ca="1">IF(ISERROR($S330),"",OFFSET('Smelter Reference List'!$G$4,$S330-4,0))</f>
        <v/>
      </c>
      <c r="I330" s="294" t="str">
        <f ca="1">IF(ISERROR($S330),"",OFFSET('Smelter Reference List'!$H$4,$S330-4,0))</f>
        <v/>
      </c>
      <c r="J330" s="294" t="str">
        <f ca="1">IF(ISERROR($S330),"",OFFSET('Smelter Reference List'!$I$4,$S330-4,0))</f>
        <v/>
      </c>
      <c r="K330" s="295"/>
      <c r="L330" s="295"/>
      <c r="M330" s="295"/>
      <c r="N330" s="295"/>
      <c r="O330" s="295"/>
      <c r="P330" s="295"/>
      <c r="Q330" s="296"/>
      <c r="R330" s="227"/>
      <c r="S330" s="228" t="e">
        <f>IF(C330="",NA(),MATCH($B330&amp;$C330,'Smelter Reference List'!$J:$J,0))</f>
        <v>#N/A</v>
      </c>
      <c r="T330" s="229"/>
      <c r="U330" s="229">
        <f t="shared" ca="1" si="12"/>
        <v>0</v>
      </c>
      <c r="V330" s="229"/>
      <c r="W330" s="229"/>
      <c r="Y330" s="223" t="str">
        <f t="shared" si="13"/>
        <v/>
      </c>
    </row>
    <row r="331" spans="1:25" s="223" customFormat="1" ht="20.25">
      <c r="A331" s="291"/>
      <c r="B331" s="292" t="str">
        <f>IF(LEN(A331)=0,"",INDEX('Smelter Reference List'!$A:$A,MATCH($A331,'Smelter Reference List'!$E:$E,0)))</f>
        <v/>
      </c>
      <c r="C331" s="298" t="str">
        <f>IF(LEN(A331)=0,"",INDEX('Smelter Reference List'!$C:$C,MATCH($A331,'Smelter Reference List'!$E:$E,0)))</f>
        <v/>
      </c>
      <c r="D331" s="292" t="str">
        <f ca="1">IF(ISERROR($S331),"",OFFSET('Smelter Reference List'!$C$4,$S331-4,0)&amp;"")</f>
        <v/>
      </c>
      <c r="E331" s="292" t="str">
        <f ca="1">IF(ISERROR($S331),"",OFFSET('Smelter Reference List'!$D$4,$S331-4,0)&amp;"")</f>
        <v/>
      </c>
      <c r="F331" s="292" t="str">
        <f ca="1">IF(ISERROR($S331),"",OFFSET('Smelter Reference List'!$E$4,$S331-4,0))</f>
        <v/>
      </c>
      <c r="G331" s="292" t="str">
        <f ca="1">IF(C331=$U$4,"Enter smelter details", IF(ISERROR($S331),"",OFFSET('Smelter Reference List'!$F$4,$S331-4,0)))</f>
        <v/>
      </c>
      <c r="H331" s="293" t="str">
        <f ca="1">IF(ISERROR($S331),"",OFFSET('Smelter Reference List'!$G$4,$S331-4,0))</f>
        <v/>
      </c>
      <c r="I331" s="294" t="str">
        <f ca="1">IF(ISERROR($S331),"",OFFSET('Smelter Reference List'!$H$4,$S331-4,0))</f>
        <v/>
      </c>
      <c r="J331" s="294" t="str">
        <f ca="1">IF(ISERROR($S331),"",OFFSET('Smelter Reference List'!$I$4,$S331-4,0))</f>
        <v/>
      </c>
      <c r="K331" s="295"/>
      <c r="L331" s="295"/>
      <c r="M331" s="295"/>
      <c r="N331" s="295"/>
      <c r="O331" s="295"/>
      <c r="P331" s="295"/>
      <c r="Q331" s="296"/>
      <c r="R331" s="227"/>
      <c r="S331" s="228" t="e">
        <f>IF(C331="",NA(),MATCH($B331&amp;$C331,'Smelter Reference List'!$J:$J,0))</f>
        <v>#N/A</v>
      </c>
      <c r="T331" s="229"/>
      <c r="U331" s="229">
        <f t="shared" ca="1" si="12"/>
        <v>0</v>
      </c>
      <c r="V331" s="229"/>
      <c r="W331" s="229"/>
      <c r="Y331" s="223" t="str">
        <f t="shared" si="13"/>
        <v/>
      </c>
    </row>
    <row r="332" spans="1:25" s="223" customFormat="1" ht="20.25">
      <c r="A332" s="291"/>
      <c r="B332" s="292" t="str">
        <f>IF(LEN(A332)=0,"",INDEX('Smelter Reference List'!$A:$A,MATCH($A332,'Smelter Reference List'!$E:$E,0)))</f>
        <v/>
      </c>
      <c r="C332" s="298" t="str">
        <f>IF(LEN(A332)=0,"",INDEX('Smelter Reference List'!$C:$C,MATCH($A332,'Smelter Reference List'!$E:$E,0)))</f>
        <v/>
      </c>
      <c r="D332" s="292" t="str">
        <f ca="1">IF(ISERROR($S332),"",OFFSET('Smelter Reference List'!$C$4,$S332-4,0)&amp;"")</f>
        <v/>
      </c>
      <c r="E332" s="292" t="str">
        <f ca="1">IF(ISERROR($S332),"",OFFSET('Smelter Reference List'!$D$4,$S332-4,0)&amp;"")</f>
        <v/>
      </c>
      <c r="F332" s="292" t="str">
        <f ca="1">IF(ISERROR($S332),"",OFFSET('Smelter Reference List'!$E$4,$S332-4,0))</f>
        <v/>
      </c>
      <c r="G332" s="292" t="str">
        <f ca="1">IF(C332=$U$4,"Enter smelter details", IF(ISERROR($S332),"",OFFSET('Smelter Reference List'!$F$4,$S332-4,0)))</f>
        <v/>
      </c>
      <c r="H332" s="293" t="str">
        <f ca="1">IF(ISERROR($S332),"",OFFSET('Smelter Reference List'!$G$4,$S332-4,0))</f>
        <v/>
      </c>
      <c r="I332" s="294" t="str">
        <f ca="1">IF(ISERROR($S332),"",OFFSET('Smelter Reference List'!$H$4,$S332-4,0))</f>
        <v/>
      </c>
      <c r="J332" s="294" t="str">
        <f ca="1">IF(ISERROR($S332),"",OFFSET('Smelter Reference List'!$I$4,$S332-4,0))</f>
        <v/>
      </c>
      <c r="K332" s="295"/>
      <c r="L332" s="295"/>
      <c r="M332" s="295"/>
      <c r="N332" s="295"/>
      <c r="O332" s="295"/>
      <c r="P332" s="295"/>
      <c r="Q332" s="296"/>
      <c r="R332" s="227"/>
      <c r="S332" s="228" t="e">
        <f>IF(C332="",NA(),MATCH($B332&amp;$C332,'Smelter Reference List'!$J:$J,0))</f>
        <v>#N/A</v>
      </c>
      <c r="T332" s="229"/>
      <c r="U332" s="229">
        <f t="shared" ca="1" si="12"/>
        <v>0</v>
      </c>
      <c r="V332" s="229"/>
      <c r="W332" s="229"/>
      <c r="Y332" s="223" t="str">
        <f t="shared" si="13"/>
        <v/>
      </c>
    </row>
    <row r="333" spans="1:25" s="223" customFormat="1" ht="20.25">
      <c r="A333" s="291"/>
      <c r="B333" s="292" t="str">
        <f>IF(LEN(A333)=0,"",INDEX('Smelter Reference List'!$A:$A,MATCH($A333,'Smelter Reference List'!$E:$E,0)))</f>
        <v/>
      </c>
      <c r="C333" s="298" t="str">
        <f>IF(LEN(A333)=0,"",INDEX('Smelter Reference List'!$C:$C,MATCH($A333,'Smelter Reference List'!$E:$E,0)))</f>
        <v/>
      </c>
      <c r="D333" s="292" t="str">
        <f ca="1">IF(ISERROR($S333),"",OFFSET('Smelter Reference List'!$C$4,$S333-4,0)&amp;"")</f>
        <v/>
      </c>
      <c r="E333" s="292" t="str">
        <f ca="1">IF(ISERROR($S333),"",OFFSET('Smelter Reference List'!$D$4,$S333-4,0)&amp;"")</f>
        <v/>
      </c>
      <c r="F333" s="292" t="str">
        <f ca="1">IF(ISERROR($S333),"",OFFSET('Smelter Reference List'!$E$4,$S333-4,0))</f>
        <v/>
      </c>
      <c r="G333" s="292" t="str">
        <f ca="1">IF(C333=$U$4,"Enter smelter details", IF(ISERROR($S333),"",OFFSET('Smelter Reference List'!$F$4,$S333-4,0)))</f>
        <v/>
      </c>
      <c r="H333" s="293" t="str">
        <f ca="1">IF(ISERROR($S333),"",OFFSET('Smelter Reference List'!$G$4,$S333-4,0))</f>
        <v/>
      </c>
      <c r="I333" s="294" t="str">
        <f ca="1">IF(ISERROR($S333),"",OFFSET('Smelter Reference List'!$H$4,$S333-4,0))</f>
        <v/>
      </c>
      <c r="J333" s="294" t="str">
        <f ca="1">IF(ISERROR($S333),"",OFFSET('Smelter Reference List'!$I$4,$S333-4,0))</f>
        <v/>
      </c>
      <c r="K333" s="295"/>
      <c r="L333" s="295"/>
      <c r="M333" s="295"/>
      <c r="N333" s="295"/>
      <c r="O333" s="295"/>
      <c r="P333" s="295"/>
      <c r="Q333" s="296"/>
      <c r="R333" s="227"/>
      <c r="S333" s="228" t="e">
        <f>IF(C333="",NA(),MATCH($B333&amp;$C333,'Smelter Reference List'!$J:$J,0))</f>
        <v>#N/A</v>
      </c>
      <c r="T333" s="229"/>
      <c r="U333" s="229">
        <f t="shared" ca="1" si="12"/>
        <v>0</v>
      </c>
      <c r="V333" s="229"/>
      <c r="W333" s="229"/>
      <c r="Y333" s="223" t="str">
        <f t="shared" si="13"/>
        <v/>
      </c>
    </row>
    <row r="334" spans="1:25" s="223" customFormat="1" ht="20.25">
      <c r="A334" s="291"/>
      <c r="B334" s="292" t="str">
        <f>IF(LEN(A334)=0,"",INDEX('Smelter Reference List'!$A:$A,MATCH($A334,'Smelter Reference List'!$E:$E,0)))</f>
        <v/>
      </c>
      <c r="C334" s="298" t="str">
        <f>IF(LEN(A334)=0,"",INDEX('Smelter Reference List'!$C:$C,MATCH($A334,'Smelter Reference List'!$E:$E,0)))</f>
        <v/>
      </c>
      <c r="D334" s="292" t="str">
        <f ca="1">IF(ISERROR($S334),"",OFFSET('Smelter Reference List'!$C$4,$S334-4,0)&amp;"")</f>
        <v/>
      </c>
      <c r="E334" s="292" t="str">
        <f ca="1">IF(ISERROR($S334),"",OFFSET('Smelter Reference List'!$D$4,$S334-4,0)&amp;"")</f>
        <v/>
      </c>
      <c r="F334" s="292" t="str">
        <f ca="1">IF(ISERROR($S334),"",OFFSET('Smelter Reference List'!$E$4,$S334-4,0))</f>
        <v/>
      </c>
      <c r="G334" s="292" t="str">
        <f ca="1">IF(C334=$U$4,"Enter smelter details", IF(ISERROR($S334),"",OFFSET('Smelter Reference List'!$F$4,$S334-4,0)))</f>
        <v/>
      </c>
      <c r="H334" s="293" t="str">
        <f ca="1">IF(ISERROR($S334),"",OFFSET('Smelter Reference List'!$G$4,$S334-4,0))</f>
        <v/>
      </c>
      <c r="I334" s="294" t="str">
        <f ca="1">IF(ISERROR($S334),"",OFFSET('Smelter Reference List'!$H$4,$S334-4,0))</f>
        <v/>
      </c>
      <c r="J334" s="294" t="str">
        <f ca="1">IF(ISERROR($S334),"",OFFSET('Smelter Reference List'!$I$4,$S334-4,0))</f>
        <v/>
      </c>
      <c r="K334" s="295"/>
      <c r="L334" s="295"/>
      <c r="M334" s="295"/>
      <c r="N334" s="295"/>
      <c r="O334" s="295"/>
      <c r="P334" s="295"/>
      <c r="Q334" s="296"/>
      <c r="R334" s="227"/>
      <c r="S334" s="228" t="e">
        <f>IF(C334="",NA(),MATCH($B334&amp;$C334,'Smelter Reference List'!$J:$J,0))</f>
        <v>#N/A</v>
      </c>
      <c r="T334" s="229"/>
      <c r="U334" s="229">
        <f t="shared" ca="1" si="12"/>
        <v>0</v>
      </c>
      <c r="V334" s="229"/>
      <c r="W334" s="229"/>
      <c r="Y334" s="223" t="str">
        <f t="shared" si="13"/>
        <v/>
      </c>
    </row>
    <row r="335" spans="1:25" s="223" customFormat="1" ht="20.25">
      <c r="A335" s="291"/>
      <c r="B335" s="292" t="str">
        <f>IF(LEN(A335)=0,"",INDEX('Smelter Reference List'!$A:$A,MATCH($A335,'Smelter Reference List'!$E:$E,0)))</f>
        <v/>
      </c>
      <c r="C335" s="298" t="str">
        <f>IF(LEN(A335)=0,"",INDEX('Smelter Reference List'!$C:$C,MATCH($A335,'Smelter Reference List'!$E:$E,0)))</f>
        <v/>
      </c>
      <c r="D335" s="292" t="str">
        <f ca="1">IF(ISERROR($S335),"",OFFSET('Smelter Reference List'!$C$4,$S335-4,0)&amp;"")</f>
        <v/>
      </c>
      <c r="E335" s="292" t="str">
        <f ca="1">IF(ISERROR($S335),"",OFFSET('Smelter Reference List'!$D$4,$S335-4,0)&amp;"")</f>
        <v/>
      </c>
      <c r="F335" s="292" t="str">
        <f ca="1">IF(ISERROR($S335),"",OFFSET('Smelter Reference List'!$E$4,$S335-4,0))</f>
        <v/>
      </c>
      <c r="G335" s="292" t="str">
        <f ca="1">IF(C335=$U$4,"Enter smelter details", IF(ISERROR($S335),"",OFFSET('Smelter Reference List'!$F$4,$S335-4,0)))</f>
        <v/>
      </c>
      <c r="H335" s="293" t="str">
        <f ca="1">IF(ISERROR($S335),"",OFFSET('Smelter Reference List'!$G$4,$S335-4,0))</f>
        <v/>
      </c>
      <c r="I335" s="294" t="str">
        <f ca="1">IF(ISERROR($S335),"",OFFSET('Smelter Reference List'!$H$4,$S335-4,0))</f>
        <v/>
      </c>
      <c r="J335" s="294" t="str">
        <f ca="1">IF(ISERROR($S335),"",OFFSET('Smelter Reference List'!$I$4,$S335-4,0))</f>
        <v/>
      </c>
      <c r="K335" s="295"/>
      <c r="L335" s="295"/>
      <c r="M335" s="295"/>
      <c r="N335" s="295"/>
      <c r="O335" s="295"/>
      <c r="P335" s="295"/>
      <c r="Q335" s="296"/>
      <c r="R335" s="227"/>
      <c r="S335" s="228" t="e">
        <f>IF(C335="",NA(),MATCH($B335&amp;$C335,'Smelter Reference List'!$J:$J,0))</f>
        <v>#N/A</v>
      </c>
      <c r="T335" s="229"/>
      <c r="U335" s="229">
        <f t="shared" ca="1" si="12"/>
        <v>0</v>
      </c>
      <c r="V335" s="229"/>
      <c r="W335" s="229"/>
      <c r="Y335" s="223" t="str">
        <f t="shared" si="13"/>
        <v/>
      </c>
    </row>
    <row r="336" spans="1:25" s="223" customFormat="1" ht="20.25">
      <c r="A336" s="291"/>
      <c r="B336" s="292" t="str">
        <f>IF(LEN(A336)=0,"",INDEX('Smelter Reference List'!$A:$A,MATCH($A336,'Smelter Reference List'!$E:$E,0)))</f>
        <v/>
      </c>
      <c r="C336" s="298" t="str">
        <f>IF(LEN(A336)=0,"",INDEX('Smelter Reference List'!$C:$C,MATCH($A336,'Smelter Reference List'!$E:$E,0)))</f>
        <v/>
      </c>
      <c r="D336" s="292" t="str">
        <f ca="1">IF(ISERROR($S336),"",OFFSET('Smelter Reference List'!$C$4,$S336-4,0)&amp;"")</f>
        <v/>
      </c>
      <c r="E336" s="292" t="str">
        <f ca="1">IF(ISERROR($S336),"",OFFSET('Smelter Reference List'!$D$4,$S336-4,0)&amp;"")</f>
        <v/>
      </c>
      <c r="F336" s="292" t="str">
        <f ca="1">IF(ISERROR($S336),"",OFFSET('Smelter Reference List'!$E$4,$S336-4,0))</f>
        <v/>
      </c>
      <c r="G336" s="292" t="str">
        <f ca="1">IF(C336=$U$4,"Enter smelter details", IF(ISERROR($S336),"",OFFSET('Smelter Reference List'!$F$4,$S336-4,0)))</f>
        <v/>
      </c>
      <c r="H336" s="293" t="str">
        <f ca="1">IF(ISERROR($S336),"",OFFSET('Smelter Reference List'!$G$4,$S336-4,0))</f>
        <v/>
      </c>
      <c r="I336" s="294" t="str">
        <f ca="1">IF(ISERROR($S336),"",OFFSET('Smelter Reference List'!$H$4,$S336-4,0))</f>
        <v/>
      </c>
      <c r="J336" s="294" t="str">
        <f ca="1">IF(ISERROR($S336),"",OFFSET('Smelter Reference List'!$I$4,$S336-4,0))</f>
        <v/>
      </c>
      <c r="K336" s="295"/>
      <c r="L336" s="295"/>
      <c r="M336" s="295"/>
      <c r="N336" s="295"/>
      <c r="O336" s="295"/>
      <c r="P336" s="295"/>
      <c r="Q336" s="296"/>
      <c r="R336" s="227"/>
      <c r="S336" s="228" t="e">
        <f>IF(C336="",NA(),MATCH($B336&amp;$C336,'Smelter Reference List'!$J:$J,0))</f>
        <v>#N/A</v>
      </c>
      <c r="T336" s="229"/>
      <c r="U336" s="229">
        <f t="shared" ca="1" si="12"/>
        <v>0</v>
      </c>
      <c r="V336" s="229"/>
      <c r="W336" s="229"/>
      <c r="Y336" s="223" t="str">
        <f t="shared" si="13"/>
        <v/>
      </c>
    </row>
    <row r="337" spans="1:25" s="223" customFormat="1" ht="20.25">
      <c r="A337" s="291"/>
      <c r="B337" s="292" t="str">
        <f>IF(LEN(A337)=0,"",INDEX('Smelter Reference List'!$A:$A,MATCH($A337,'Smelter Reference List'!$E:$E,0)))</f>
        <v/>
      </c>
      <c r="C337" s="298" t="str">
        <f>IF(LEN(A337)=0,"",INDEX('Smelter Reference List'!$C:$C,MATCH($A337,'Smelter Reference List'!$E:$E,0)))</f>
        <v/>
      </c>
      <c r="D337" s="292" t="str">
        <f ca="1">IF(ISERROR($S337),"",OFFSET('Smelter Reference List'!$C$4,$S337-4,0)&amp;"")</f>
        <v/>
      </c>
      <c r="E337" s="292" t="str">
        <f ca="1">IF(ISERROR($S337),"",OFFSET('Smelter Reference List'!$D$4,$S337-4,0)&amp;"")</f>
        <v/>
      </c>
      <c r="F337" s="292" t="str">
        <f ca="1">IF(ISERROR($S337),"",OFFSET('Smelter Reference List'!$E$4,$S337-4,0))</f>
        <v/>
      </c>
      <c r="G337" s="292" t="str">
        <f ca="1">IF(C337=$U$4,"Enter smelter details", IF(ISERROR($S337),"",OFFSET('Smelter Reference List'!$F$4,$S337-4,0)))</f>
        <v/>
      </c>
      <c r="H337" s="293" t="str">
        <f ca="1">IF(ISERROR($S337),"",OFFSET('Smelter Reference List'!$G$4,$S337-4,0))</f>
        <v/>
      </c>
      <c r="I337" s="294" t="str">
        <f ca="1">IF(ISERROR($S337),"",OFFSET('Smelter Reference List'!$H$4,$S337-4,0))</f>
        <v/>
      </c>
      <c r="J337" s="294" t="str">
        <f ca="1">IF(ISERROR($S337),"",OFFSET('Smelter Reference List'!$I$4,$S337-4,0))</f>
        <v/>
      </c>
      <c r="K337" s="295"/>
      <c r="L337" s="295"/>
      <c r="M337" s="295"/>
      <c r="N337" s="295"/>
      <c r="O337" s="295"/>
      <c r="P337" s="295"/>
      <c r="Q337" s="296"/>
      <c r="R337" s="227"/>
      <c r="S337" s="228" t="e">
        <f>IF(C337="",NA(),MATCH($B337&amp;$C337,'Smelter Reference List'!$J:$J,0))</f>
        <v>#N/A</v>
      </c>
      <c r="T337" s="229"/>
      <c r="U337" s="229">
        <f t="shared" ca="1" si="12"/>
        <v>0</v>
      </c>
      <c r="V337" s="229"/>
      <c r="W337" s="229"/>
      <c r="Y337" s="223" t="str">
        <f t="shared" si="13"/>
        <v/>
      </c>
    </row>
    <row r="338" spans="1:25" s="223" customFormat="1" ht="20.25">
      <c r="A338" s="291"/>
      <c r="B338" s="292" t="str">
        <f>IF(LEN(A338)=0,"",INDEX('Smelter Reference List'!$A:$A,MATCH($A338,'Smelter Reference List'!$E:$E,0)))</f>
        <v/>
      </c>
      <c r="C338" s="298" t="str">
        <f>IF(LEN(A338)=0,"",INDEX('Smelter Reference List'!$C:$C,MATCH($A338,'Smelter Reference List'!$E:$E,0)))</f>
        <v/>
      </c>
      <c r="D338" s="292" t="str">
        <f ca="1">IF(ISERROR($S338),"",OFFSET('Smelter Reference List'!$C$4,$S338-4,0)&amp;"")</f>
        <v/>
      </c>
      <c r="E338" s="292" t="str">
        <f ca="1">IF(ISERROR($S338),"",OFFSET('Smelter Reference List'!$D$4,$S338-4,0)&amp;"")</f>
        <v/>
      </c>
      <c r="F338" s="292" t="str">
        <f ca="1">IF(ISERROR($S338),"",OFFSET('Smelter Reference List'!$E$4,$S338-4,0))</f>
        <v/>
      </c>
      <c r="G338" s="292" t="str">
        <f ca="1">IF(C338=$U$4,"Enter smelter details", IF(ISERROR($S338),"",OFFSET('Smelter Reference List'!$F$4,$S338-4,0)))</f>
        <v/>
      </c>
      <c r="H338" s="293" t="str">
        <f ca="1">IF(ISERROR($S338),"",OFFSET('Smelter Reference List'!$G$4,$S338-4,0))</f>
        <v/>
      </c>
      <c r="I338" s="294" t="str">
        <f ca="1">IF(ISERROR($S338),"",OFFSET('Smelter Reference List'!$H$4,$S338-4,0))</f>
        <v/>
      </c>
      <c r="J338" s="294" t="str">
        <f ca="1">IF(ISERROR($S338),"",OFFSET('Smelter Reference List'!$I$4,$S338-4,0))</f>
        <v/>
      </c>
      <c r="K338" s="295"/>
      <c r="L338" s="295"/>
      <c r="M338" s="295"/>
      <c r="N338" s="295"/>
      <c r="O338" s="295"/>
      <c r="P338" s="295"/>
      <c r="Q338" s="296"/>
      <c r="R338" s="227"/>
      <c r="S338" s="228" t="e">
        <f>IF(C338="",NA(),MATCH($B338&amp;$C338,'Smelter Reference List'!$J:$J,0))</f>
        <v>#N/A</v>
      </c>
      <c r="T338" s="229"/>
      <c r="U338" s="229">
        <f t="shared" ca="1" si="12"/>
        <v>0</v>
      </c>
      <c r="V338" s="229"/>
      <c r="W338" s="229"/>
      <c r="Y338" s="223" t="str">
        <f t="shared" si="13"/>
        <v/>
      </c>
    </row>
    <row r="339" spans="1:25" s="223" customFormat="1" ht="20.25">
      <c r="A339" s="291"/>
      <c r="B339" s="292" t="str">
        <f>IF(LEN(A339)=0,"",INDEX('Smelter Reference List'!$A:$A,MATCH($A339,'Smelter Reference List'!$E:$E,0)))</f>
        <v/>
      </c>
      <c r="C339" s="298" t="str">
        <f>IF(LEN(A339)=0,"",INDEX('Smelter Reference List'!$C:$C,MATCH($A339,'Smelter Reference List'!$E:$E,0)))</f>
        <v/>
      </c>
      <c r="D339" s="292" t="str">
        <f ca="1">IF(ISERROR($S339),"",OFFSET('Smelter Reference List'!$C$4,$S339-4,0)&amp;"")</f>
        <v/>
      </c>
      <c r="E339" s="292" t="str">
        <f ca="1">IF(ISERROR($S339),"",OFFSET('Smelter Reference List'!$D$4,$S339-4,0)&amp;"")</f>
        <v/>
      </c>
      <c r="F339" s="292" t="str">
        <f ca="1">IF(ISERROR($S339),"",OFFSET('Smelter Reference List'!$E$4,$S339-4,0))</f>
        <v/>
      </c>
      <c r="G339" s="292" t="str">
        <f ca="1">IF(C339=$U$4,"Enter smelter details", IF(ISERROR($S339),"",OFFSET('Smelter Reference List'!$F$4,$S339-4,0)))</f>
        <v/>
      </c>
      <c r="H339" s="293" t="str">
        <f ca="1">IF(ISERROR($S339),"",OFFSET('Smelter Reference List'!$G$4,$S339-4,0))</f>
        <v/>
      </c>
      <c r="I339" s="294" t="str">
        <f ca="1">IF(ISERROR($S339),"",OFFSET('Smelter Reference List'!$H$4,$S339-4,0))</f>
        <v/>
      </c>
      <c r="J339" s="294" t="str">
        <f ca="1">IF(ISERROR($S339),"",OFFSET('Smelter Reference List'!$I$4,$S339-4,0))</f>
        <v/>
      </c>
      <c r="K339" s="295"/>
      <c r="L339" s="295"/>
      <c r="M339" s="295"/>
      <c r="N339" s="295"/>
      <c r="O339" s="295"/>
      <c r="P339" s="295"/>
      <c r="Q339" s="296"/>
      <c r="R339" s="227"/>
      <c r="S339" s="228" t="e">
        <f>IF(C339="",NA(),MATCH($B339&amp;$C339,'Smelter Reference List'!$J:$J,0))</f>
        <v>#N/A</v>
      </c>
      <c r="T339" s="229"/>
      <c r="U339" s="229">
        <f t="shared" ca="1" si="12"/>
        <v>0</v>
      </c>
      <c r="V339" s="229"/>
      <c r="W339" s="229"/>
      <c r="Y339" s="223" t="str">
        <f t="shared" si="13"/>
        <v/>
      </c>
    </row>
    <row r="340" spans="1:25" s="223" customFormat="1" ht="20.25">
      <c r="A340" s="291"/>
      <c r="B340" s="292" t="str">
        <f>IF(LEN(A340)=0,"",INDEX('Smelter Reference List'!$A:$A,MATCH($A340,'Smelter Reference List'!$E:$E,0)))</f>
        <v/>
      </c>
      <c r="C340" s="298" t="str">
        <f>IF(LEN(A340)=0,"",INDEX('Smelter Reference List'!$C:$C,MATCH($A340,'Smelter Reference List'!$E:$E,0)))</f>
        <v/>
      </c>
      <c r="D340" s="292" t="str">
        <f ca="1">IF(ISERROR($S340),"",OFFSET('Smelter Reference List'!$C$4,$S340-4,0)&amp;"")</f>
        <v/>
      </c>
      <c r="E340" s="292" t="str">
        <f ca="1">IF(ISERROR($S340),"",OFFSET('Smelter Reference List'!$D$4,$S340-4,0)&amp;"")</f>
        <v/>
      </c>
      <c r="F340" s="292" t="str">
        <f ca="1">IF(ISERROR($S340),"",OFFSET('Smelter Reference List'!$E$4,$S340-4,0))</f>
        <v/>
      </c>
      <c r="G340" s="292" t="str">
        <f ca="1">IF(C340=$U$4,"Enter smelter details", IF(ISERROR($S340),"",OFFSET('Smelter Reference List'!$F$4,$S340-4,0)))</f>
        <v/>
      </c>
      <c r="H340" s="293" t="str">
        <f ca="1">IF(ISERROR($S340),"",OFFSET('Smelter Reference List'!$G$4,$S340-4,0))</f>
        <v/>
      </c>
      <c r="I340" s="294" t="str">
        <f ca="1">IF(ISERROR($S340),"",OFFSET('Smelter Reference List'!$H$4,$S340-4,0))</f>
        <v/>
      </c>
      <c r="J340" s="294" t="str">
        <f ca="1">IF(ISERROR($S340),"",OFFSET('Smelter Reference List'!$I$4,$S340-4,0))</f>
        <v/>
      </c>
      <c r="K340" s="295"/>
      <c r="L340" s="295"/>
      <c r="M340" s="295"/>
      <c r="N340" s="295"/>
      <c r="O340" s="295"/>
      <c r="P340" s="295"/>
      <c r="Q340" s="296"/>
      <c r="R340" s="227"/>
      <c r="S340" s="228" t="e">
        <f>IF(C340="",NA(),MATCH($B340&amp;$C340,'Smelter Reference List'!$J:$J,0))</f>
        <v>#N/A</v>
      </c>
      <c r="T340" s="229"/>
      <c r="U340" s="229">
        <f t="shared" ca="1" si="12"/>
        <v>0</v>
      </c>
      <c r="V340" s="229"/>
      <c r="W340" s="229"/>
      <c r="Y340" s="223" t="str">
        <f t="shared" si="13"/>
        <v/>
      </c>
    </row>
    <row r="341" spans="1:25" s="223" customFormat="1" ht="20.25">
      <c r="A341" s="291"/>
      <c r="B341" s="292" t="str">
        <f>IF(LEN(A341)=0,"",INDEX('Smelter Reference List'!$A:$A,MATCH($A341,'Smelter Reference List'!$E:$E,0)))</f>
        <v/>
      </c>
      <c r="C341" s="298" t="str">
        <f>IF(LEN(A341)=0,"",INDEX('Smelter Reference List'!$C:$C,MATCH($A341,'Smelter Reference List'!$E:$E,0)))</f>
        <v/>
      </c>
      <c r="D341" s="292" t="str">
        <f ca="1">IF(ISERROR($S341),"",OFFSET('Smelter Reference List'!$C$4,$S341-4,0)&amp;"")</f>
        <v/>
      </c>
      <c r="E341" s="292" t="str">
        <f ca="1">IF(ISERROR($S341),"",OFFSET('Smelter Reference List'!$D$4,$S341-4,0)&amp;"")</f>
        <v/>
      </c>
      <c r="F341" s="292" t="str">
        <f ca="1">IF(ISERROR($S341),"",OFFSET('Smelter Reference List'!$E$4,$S341-4,0))</f>
        <v/>
      </c>
      <c r="G341" s="292" t="str">
        <f ca="1">IF(C341=$U$4,"Enter smelter details", IF(ISERROR($S341),"",OFFSET('Smelter Reference List'!$F$4,$S341-4,0)))</f>
        <v/>
      </c>
      <c r="H341" s="293" t="str">
        <f ca="1">IF(ISERROR($S341),"",OFFSET('Smelter Reference List'!$G$4,$S341-4,0))</f>
        <v/>
      </c>
      <c r="I341" s="294" t="str">
        <f ca="1">IF(ISERROR($S341),"",OFFSET('Smelter Reference List'!$H$4,$S341-4,0))</f>
        <v/>
      </c>
      <c r="J341" s="294" t="str">
        <f ca="1">IF(ISERROR($S341),"",OFFSET('Smelter Reference List'!$I$4,$S341-4,0))</f>
        <v/>
      </c>
      <c r="K341" s="295"/>
      <c r="L341" s="295"/>
      <c r="M341" s="295"/>
      <c r="N341" s="295"/>
      <c r="O341" s="295"/>
      <c r="P341" s="295"/>
      <c r="Q341" s="296"/>
      <c r="R341" s="227"/>
      <c r="S341" s="228" t="e">
        <f>IF(C341="",NA(),MATCH($B341&amp;$C341,'Smelter Reference List'!$J:$J,0))</f>
        <v>#N/A</v>
      </c>
      <c r="T341" s="229"/>
      <c r="U341" s="229">
        <f t="shared" ca="1" si="12"/>
        <v>0</v>
      </c>
      <c r="V341" s="229"/>
      <c r="W341" s="229"/>
      <c r="Y341" s="223" t="str">
        <f t="shared" si="13"/>
        <v/>
      </c>
    </row>
    <row r="342" spans="1:25" s="223" customFormat="1" ht="20.25">
      <c r="A342" s="291"/>
      <c r="B342" s="292" t="str">
        <f>IF(LEN(A342)=0,"",INDEX('Smelter Reference List'!$A:$A,MATCH($A342,'Smelter Reference List'!$E:$E,0)))</f>
        <v/>
      </c>
      <c r="C342" s="298" t="str">
        <f>IF(LEN(A342)=0,"",INDEX('Smelter Reference List'!$C:$C,MATCH($A342,'Smelter Reference List'!$E:$E,0)))</f>
        <v/>
      </c>
      <c r="D342" s="292" t="str">
        <f ca="1">IF(ISERROR($S342),"",OFFSET('Smelter Reference List'!$C$4,$S342-4,0)&amp;"")</f>
        <v/>
      </c>
      <c r="E342" s="292" t="str">
        <f ca="1">IF(ISERROR($S342),"",OFFSET('Smelter Reference List'!$D$4,$S342-4,0)&amp;"")</f>
        <v/>
      </c>
      <c r="F342" s="292" t="str">
        <f ca="1">IF(ISERROR($S342),"",OFFSET('Smelter Reference List'!$E$4,$S342-4,0))</f>
        <v/>
      </c>
      <c r="G342" s="292" t="str">
        <f ca="1">IF(C342=$U$4,"Enter smelter details", IF(ISERROR($S342),"",OFFSET('Smelter Reference List'!$F$4,$S342-4,0)))</f>
        <v/>
      </c>
      <c r="H342" s="293" t="str">
        <f ca="1">IF(ISERROR($S342),"",OFFSET('Smelter Reference List'!$G$4,$S342-4,0))</f>
        <v/>
      </c>
      <c r="I342" s="294" t="str">
        <f ca="1">IF(ISERROR($S342),"",OFFSET('Smelter Reference List'!$H$4,$S342-4,0))</f>
        <v/>
      </c>
      <c r="J342" s="294" t="str">
        <f ca="1">IF(ISERROR($S342),"",OFFSET('Smelter Reference List'!$I$4,$S342-4,0))</f>
        <v/>
      </c>
      <c r="K342" s="295"/>
      <c r="L342" s="295"/>
      <c r="M342" s="295"/>
      <c r="N342" s="295"/>
      <c r="O342" s="295"/>
      <c r="P342" s="295"/>
      <c r="Q342" s="296"/>
      <c r="R342" s="227"/>
      <c r="S342" s="228" t="e">
        <f>IF(C342="",NA(),MATCH($B342&amp;$C342,'Smelter Reference List'!$J:$J,0))</f>
        <v>#N/A</v>
      </c>
      <c r="T342" s="229"/>
      <c r="U342" s="229">
        <f t="shared" ca="1" si="12"/>
        <v>0</v>
      </c>
      <c r="V342" s="229"/>
      <c r="W342" s="229"/>
      <c r="Y342" s="223" t="str">
        <f t="shared" si="13"/>
        <v/>
      </c>
    </row>
    <row r="343" spans="1:25" s="223" customFormat="1" ht="20.25">
      <c r="A343" s="291"/>
      <c r="B343" s="292" t="str">
        <f>IF(LEN(A343)=0,"",INDEX('Smelter Reference List'!$A:$A,MATCH($A343,'Smelter Reference List'!$E:$E,0)))</f>
        <v/>
      </c>
      <c r="C343" s="298" t="str">
        <f>IF(LEN(A343)=0,"",INDEX('Smelter Reference List'!$C:$C,MATCH($A343,'Smelter Reference List'!$E:$E,0)))</f>
        <v/>
      </c>
      <c r="D343" s="292" t="str">
        <f ca="1">IF(ISERROR($S343),"",OFFSET('Smelter Reference List'!$C$4,$S343-4,0)&amp;"")</f>
        <v/>
      </c>
      <c r="E343" s="292" t="str">
        <f ca="1">IF(ISERROR($S343),"",OFFSET('Smelter Reference List'!$D$4,$S343-4,0)&amp;"")</f>
        <v/>
      </c>
      <c r="F343" s="292" t="str">
        <f ca="1">IF(ISERROR($S343),"",OFFSET('Smelter Reference List'!$E$4,$S343-4,0))</f>
        <v/>
      </c>
      <c r="G343" s="292" t="str">
        <f ca="1">IF(C343=$U$4,"Enter smelter details", IF(ISERROR($S343),"",OFFSET('Smelter Reference List'!$F$4,$S343-4,0)))</f>
        <v/>
      </c>
      <c r="H343" s="293" t="str">
        <f ca="1">IF(ISERROR($S343),"",OFFSET('Smelter Reference List'!$G$4,$S343-4,0))</f>
        <v/>
      </c>
      <c r="I343" s="294" t="str">
        <f ca="1">IF(ISERROR($S343),"",OFFSET('Smelter Reference List'!$H$4,$S343-4,0))</f>
        <v/>
      </c>
      <c r="J343" s="294" t="str">
        <f ca="1">IF(ISERROR($S343),"",OFFSET('Smelter Reference List'!$I$4,$S343-4,0))</f>
        <v/>
      </c>
      <c r="K343" s="295"/>
      <c r="L343" s="295"/>
      <c r="M343" s="295"/>
      <c r="N343" s="295"/>
      <c r="O343" s="295"/>
      <c r="P343" s="295"/>
      <c r="Q343" s="296"/>
      <c r="R343" s="227"/>
      <c r="S343" s="228" t="e">
        <f>IF(C343="",NA(),MATCH($B343&amp;$C343,'Smelter Reference List'!$J:$J,0))</f>
        <v>#N/A</v>
      </c>
      <c r="T343" s="229"/>
      <c r="U343" s="229">
        <f t="shared" ca="1" si="12"/>
        <v>0</v>
      </c>
      <c r="V343" s="229"/>
      <c r="W343" s="229"/>
      <c r="Y343" s="223" t="str">
        <f t="shared" si="13"/>
        <v/>
      </c>
    </row>
    <row r="344" spans="1:25" s="223" customFormat="1" ht="20.25">
      <c r="A344" s="291"/>
      <c r="B344" s="292" t="str">
        <f>IF(LEN(A344)=0,"",INDEX('Smelter Reference List'!$A:$A,MATCH($A344,'Smelter Reference List'!$E:$E,0)))</f>
        <v/>
      </c>
      <c r="C344" s="298" t="str">
        <f>IF(LEN(A344)=0,"",INDEX('Smelter Reference List'!$C:$C,MATCH($A344,'Smelter Reference List'!$E:$E,0)))</f>
        <v/>
      </c>
      <c r="D344" s="292" t="str">
        <f ca="1">IF(ISERROR($S344),"",OFFSET('Smelter Reference List'!$C$4,$S344-4,0)&amp;"")</f>
        <v/>
      </c>
      <c r="E344" s="292" t="str">
        <f ca="1">IF(ISERROR($S344),"",OFFSET('Smelter Reference List'!$D$4,$S344-4,0)&amp;"")</f>
        <v/>
      </c>
      <c r="F344" s="292" t="str">
        <f ca="1">IF(ISERROR($S344),"",OFFSET('Smelter Reference List'!$E$4,$S344-4,0))</f>
        <v/>
      </c>
      <c r="G344" s="292" t="str">
        <f ca="1">IF(C344=$U$4,"Enter smelter details", IF(ISERROR($S344),"",OFFSET('Smelter Reference List'!$F$4,$S344-4,0)))</f>
        <v/>
      </c>
      <c r="H344" s="293" t="str">
        <f ca="1">IF(ISERROR($S344),"",OFFSET('Smelter Reference List'!$G$4,$S344-4,0))</f>
        <v/>
      </c>
      <c r="I344" s="294" t="str">
        <f ca="1">IF(ISERROR($S344),"",OFFSET('Smelter Reference List'!$H$4,$S344-4,0))</f>
        <v/>
      </c>
      <c r="J344" s="294" t="str">
        <f ca="1">IF(ISERROR($S344),"",OFFSET('Smelter Reference List'!$I$4,$S344-4,0))</f>
        <v/>
      </c>
      <c r="K344" s="295"/>
      <c r="L344" s="295"/>
      <c r="M344" s="295"/>
      <c r="N344" s="295"/>
      <c r="O344" s="295"/>
      <c r="P344" s="295"/>
      <c r="Q344" s="296"/>
      <c r="R344" s="227"/>
      <c r="S344" s="228" t="e">
        <f>IF(C344="",NA(),MATCH($B344&amp;$C344,'Smelter Reference List'!$J:$J,0))</f>
        <v>#N/A</v>
      </c>
      <c r="T344" s="229"/>
      <c r="U344" s="229">
        <f t="shared" ca="1" si="12"/>
        <v>0</v>
      </c>
      <c r="V344" s="229"/>
      <c r="W344" s="229"/>
      <c r="Y344" s="223" t="str">
        <f t="shared" si="13"/>
        <v/>
      </c>
    </row>
    <row r="345" spans="1:25" s="223" customFormat="1" ht="20.25">
      <c r="A345" s="291"/>
      <c r="B345" s="292" t="str">
        <f>IF(LEN(A345)=0,"",INDEX('Smelter Reference List'!$A:$A,MATCH($A345,'Smelter Reference List'!$E:$E,0)))</f>
        <v/>
      </c>
      <c r="C345" s="298" t="str">
        <f>IF(LEN(A345)=0,"",INDEX('Smelter Reference List'!$C:$C,MATCH($A345,'Smelter Reference List'!$E:$E,0)))</f>
        <v/>
      </c>
      <c r="D345" s="292" t="str">
        <f ca="1">IF(ISERROR($S345),"",OFFSET('Smelter Reference List'!$C$4,$S345-4,0)&amp;"")</f>
        <v/>
      </c>
      <c r="E345" s="292" t="str">
        <f ca="1">IF(ISERROR($S345),"",OFFSET('Smelter Reference List'!$D$4,$S345-4,0)&amp;"")</f>
        <v/>
      </c>
      <c r="F345" s="292" t="str">
        <f ca="1">IF(ISERROR($S345),"",OFFSET('Smelter Reference List'!$E$4,$S345-4,0))</f>
        <v/>
      </c>
      <c r="G345" s="292" t="str">
        <f ca="1">IF(C345=$U$4,"Enter smelter details", IF(ISERROR($S345),"",OFFSET('Smelter Reference List'!$F$4,$S345-4,0)))</f>
        <v/>
      </c>
      <c r="H345" s="293" t="str">
        <f ca="1">IF(ISERROR($S345),"",OFFSET('Smelter Reference List'!$G$4,$S345-4,0))</f>
        <v/>
      </c>
      <c r="I345" s="294" t="str">
        <f ca="1">IF(ISERROR($S345),"",OFFSET('Smelter Reference List'!$H$4,$S345-4,0))</f>
        <v/>
      </c>
      <c r="J345" s="294" t="str">
        <f ca="1">IF(ISERROR($S345),"",OFFSET('Smelter Reference List'!$I$4,$S345-4,0))</f>
        <v/>
      </c>
      <c r="K345" s="295"/>
      <c r="L345" s="295"/>
      <c r="M345" s="295"/>
      <c r="N345" s="295"/>
      <c r="O345" s="295"/>
      <c r="P345" s="295"/>
      <c r="Q345" s="296"/>
      <c r="R345" s="227"/>
      <c r="S345" s="228" t="e">
        <f>IF(C345="",NA(),MATCH($B345&amp;$C345,'Smelter Reference List'!$J:$J,0))</f>
        <v>#N/A</v>
      </c>
      <c r="T345" s="229"/>
      <c r="U345" s="229">
        <f t="shared" ca="1" si="12"/>
        <v>0</v>
      </c>
      <c r="V345" s="229"/>
      <c r="W345" s="229"/>
      <c r="Y345" s="223" t="str">
        <f t="shared" si="13"/>
        <v/>
      </c>
    </row>
    <row r="346" spans="1:25" s="223" customFormat="1" ht="20.25">
      <c r="A346" s="291"/>
      <c r="B346" s="292" t="str">
        <f>IF(LEN(A346)=0,"",INDEX('Smelter Reference List'!$A:$A,MATCH($A346,'Smelter Reference List'!$E:$E,0)))</f>
        <v/>
      </c>
      <c r="C346" s="298" t="str">
        <f>IF(LEN(A346)=0,"",INDEX('Smelter Reference List'!$C:$C,MATCH($A346,'Smelter Reference List'!$E:$E,0)))</f>
        <v/>
      </c>
      <c r="D346" s="292" t="str">
        <f ca="1">IF(ISERROR($S346),"",OFFSET('Smelter Reference List'!$C$4,$S346-4,0)&amp;"")</f>
        <v/>
      </c>
      <c r="E346" s="292" t="str">
        <f ca="1">IF(ISERROR($S346),"",OFFSET('Smelter Reference List'!$D$4,$S346-4,0)&amp;"")</f>
        <v/>
      </c>
      <c r="F346" s="292" t="str">
        <f ca="1">IF(ISERROR($S346),"",OFFSET('Smelter Reference List'!$E$4,$S346-4,0))</f>
        <v/>
      </c>
      <c r="G346" s="292" t="str">
        <f ca="1">IF(C346=$U$4,"Enter smelter details", IF(ISERROR($S346),"",OFFSET('Smelter Reference List'!$F$4,$S346-4,0)))</f>
        <v/>
      </c>
      <c r="H346" s="293" t="str">
        <f ca="1">IF(ISERROR($S346),"",OFFSET('Smelter Reference List'!$G$4,$S346-4,0))</f>
        <v/>
      </c>
      <c r="I346" s="294" t="str">
        <f ca="1">IF(ISERROR($S346),"",OFFSET('Smelter Reference List'!$H$4,$S346-4,0))</f>
        <v/>
      </c>
      <c r="J346" s="294" t="str">
        <f ca="1">IF(ISERROR($S346),"",OFFSET('Smelter Reference List'!$I$4,$S346-4,0))</f>
        <v/>
      </c>
      <c r="K346" s="295"/>
      <c r="L346" s="295"/>
      <c r="M346" s="295"/>
      <c r="N346" s="295"/>
      <c r="O346" s="295"/>
      <c r="P346" s="295"/>
      <c r="Q346" s="296"/>
      <c r="R346" s="227"/>
      <c r="S346" s="228" t="e">
        <f>IF(C346="",NA(),MATCH($B346&amp;$C346,'Smelter Reference List'!$J:$J,0))</f>
        <v>#N/A</v>
      </c>
      <c r="T346" s="229"/>
      <c r="U346" s="229">
        <f t="shared" ca="1" si="12"/>
        <v>0</v>
      </c>
      <c r="V346" s="229"/>
      <c r="W346" s="229"/>
      <c r="Y346" s="223" t="str">
        <f t="shared" si="13"/>
        <v/>
      </c>
    </row>
    <row r="347" spans="1:25" s="223" customFormat="1" ht="20.25">
      <c r="A347" s="291"/>
      <c r="B347" s="292" t="str">
        <f>IF(LEN(A347)=0,"",INDEX('Smelter Reference List'!$A:$A,MATCH($A347,'Smelter Reference List'!$E:$E,0)))</f>
        <v/>
      </c>
      <c r="C347" s="298" t="str">
        <f>IF(LEN(A347)=0,"",INDEX('Smelter Reference List'!$C:$C,MATCH($A347,'Smelter Reference List'!$E:$E,0)))</f>
        <v/>
      </c>
      <c r="D347" s="292" t="str">
        <f ca="1">IF(ISERROR($S347),"",OFFSET('Smelter Reference List'!$C$4,$S347-4,0)&amp;"")</f>
        <v/>
      </c>
      <c r="E347" s="292" t="str">
        <f ca="1">IF(ISERROR($S347),"",OFFSET('Smelter Reference List'!$D$4,$S347-4,0)&amp;"")</f>
        <v/>
      </c>
      <c r="F347" s="292" t="str">
        <f ca="1">IF(ISERROR($S347),"",OFFSET('Smelter Reference List'!$E$4,$S347-4,0))</f>
        <v/>
      </c>
      <c r="G347" s="292" t="str">
        <f ca="1">IF(C347=$U$4,"Enter smelter details", IF(ISERROR($S347),"",OFFSET('Smelter Reference List'!$F$4,$S347-4,0)))</f>
        <v/>
      </c>
      <c r="H347" s="293" t="str">
        <f ca="1">IF(ISERROR($S347),"",OFFSET('Smelter Reference List'!$G$4,$S347-4,0))</f>
        <v/>
      </c>
      <c r="I347" s="294" t="str">
        <f ca="1">IF(ISERROR($S347),"",OFFSET('Smelter Reference List'!$H$4,$S347-4,0))</f>
        <v/>
      </c>
      <c r="J347" s="294" t="str">
        <f ca="1">IF(ISERROR($S347),"",OFFSET('Smelter Reference List'!$I$4,$S347-4,0))</f>
        <v/>
      </c>
      <c r="K347" s="295"/>
      <c r="L347" s="295"/>
      <c r="M347" s="295"/>
      <c r="N347" s="295"/>
      <c r="O347" s="295"/>
      <c r="P347" s="295"/>
      <c r="Q347" s="296"/>
      <c r="R347" s="227"/>
      <c r="S347" s="228" t="e">
        <f>IF(C347="",NA(),MATCH($B347&amp;$C347,'Smelter Reference List'!$J:$J,0))</f>
        <v>#N/A</v>
      </c>
      <c r="T347" s="229"/>
      <c r="U347" s="229">
        <f t="shared" ca="1" si="12"/>
        <v>0</v>
      </c>
      <c r="V347" s="229"/>
      <c r="W347" s="229"/>
      <c r="Y347" s="223" t="str">
        <f t="shared" si="13"/>
        <v/>
      </c>
    </row>
    <row r="348" spans="1:25" s="223" customFormat="1" ht="20.25">
      <c r="A348" s="291"/>
      <c r="B348" s="292" t="str">
        <f>IF(LEN(A348)=0,"",INDEX('Smelter Reference List'!$A:$A,MATCH($A348,'Smelter Reference List'!$E:$E,0)))</f>
        <v/>
      </c>
      <c r="C348" s="298" t="str">
        <f>IF(LEN(A348)=0,"",INDEX('Smelter Reference List'!$C:$C,MATCH($A348,'Smelter Reference List'!$E:$E,0)))</f>
        <v/>
      </c>
      <c r="D348" s="292" t="str">
        <f ca="1">IF(ISERROR($S348),"",OFFSET('Smelter Reference List'!$C$4,$S348-4,0)&amp;"")</f>
        <v/>
      </c>
      <c r="E348" s="292" t="str">
        <f ca="1">IF(ISERROR($S348),"",OFFSET('Smelter Reference List'!$D$4,$S348-4,0)&amp;"")</f>
        <v/>
      </c>
      <c r="F348" s="292" t="str">
        <f ca="1">IF(ISERROR($S348),"",OFFSET('Smelter Reference List'!$E$4,$S348-4,0))</f>
        <v/>
      </c>
      <c r="G348" s="292" t="str">
        <f ca="1">IF(C348=$U$4,"Enter smelter details", IF(ISERROR($S348),"",OFFSET('Smelter Reference List'!$F$4,$S348-4,0)))</f>
        <v/>
      </c>
      <c r="H348" s="293" t="str">
        <f ca="1">IF(ISERROR($S348),"",OFFSET('Smelter Reference List'!$G$4,$S348-4,0))</f>
        <v/>
      </c>
      <c r="I348" s="294" t="str">
        <f ca="1">IF(ISERROR($S348),"",OFFSET('Smelter Reference List'!$H$4,$S348-4,0))</f>
        <v/>
      </c>
      <c r="J348" s="294" t="str">
        <f ca="1">IF(ISERROR($S348),"",OFFSET('Smelter Reference List'!$I$4,$S348-4,0))</f>
        <v/>
      </c>
      <c r="K348" s="295"/>
      <c r="L348" s="295"/>
      <c r="M348" s="295"/>
      <c r="N348" s="295"/>
      <c r="O348" s="295"/>
      <c r="P348" s="295"/>
      <c r="Q348" s="296"/>
      <c r="R348" s="227"/>
      <c r="S348" s="228" t="e">
        <f>IF(C348="",NA(),MATCH($B348&amp;$C348,'Smelter Reference List'!$J:$J,0))</f>
        <v>#N/A</v>
      </c>
      <c r="T348" s="229"/>
      <c r="U348" s="229">
        <f t="shared" ca="1" si="12"/>
        <v>0</v>
      </c>
      <c r="V348" s="229"/>
      <c r="W348" s="229"/>
      <c r="Y348" s="223" t="str">
        <f t="shared" si="13"/>
        <v/>
      </c>
    </row>
    <row r="349" spans="1:25" s="223" customFormat="1" ht="20.25">
      <c r="A349" s="291"/>
      <c r="B349" s="292" t="str">
        <f>IF(LEN(A349)=0,"",INDEX('Smelter Reference List'!$A:$A,MATCH($A349,'Smelter Reference List'!$E:$E,0)))</f>
        <v/>
      </c>
      <c r="C349" s="298" t="str">
        <f>IF(LEN(A349)=0,"",INDEX('Smelter Reference List'!$C:$C,MATCH($A349,'Smelter Reference List'!$E:$E,0)))</f>
        <v/>
      </c>
      <c r="D349" s="292" t="str">
        <f ca="1">IF(ISERROR($S349),"",OFFSET('Smelter Reference List'!$C$4,$S349-4,0)&amp;"")</f>
        <v/>
      </c>
      <c r="E349" s="292" t="str">
        <f ca="1">IF(ISERROR($S349),"",OFFSET('Smelter Reference List'!$D$4,$S349-4,0)&amp;"")</f>
        <v/>
      </c>
      <c r="F349" s="292" t="str">
        <f ca="1">IF(ISERROR($S349),"",OFFSET('Smelter Reference List'!$E$4,$S349-4,0))</f>
        <v/>
      </c>
      <c r="G349" s="292" t="str">
        <f ca="1">IF(C349=$U$4,"Enter smelter details", IF(ISERROR($S349),"",OFFSET('Smelter Reference List'!$F$4,$S349-4,0)))</f>
        <v/>
      </c>
      <c r="H349" s="293" t="str">
        <f ca="1">IF(ISERROR($S349),"",OFFSET('Smelter Reference List'!$G$4,$S349-4,0))</f>
        <v/>
      </c>
      <c r="I349" s="294" t="str">
        <f ca="1">IF(ISERROR($S349),"",OFFSET('Smelter Reference List'!$H$4,$S349-4,0))</f>
        <v/>
      </c>
      <c r="J349" s="294" t="str">
        <f ca="1">IF(ISERROR($S349),"",OFFSET('Smelter Reference List'!$I$4,$S349-4,0))</f>
        <v/>
      </c>
      <c r="K349" s="295"/>
      <c r="L349" s="295"/>
      <c r="M349" s="295"/>
      <c r="N349" s="295"/>
      <c r="O349" s="295"/>
      <c r="P349" s="295"/>
      <c r="Q349" s="296"/>
      <c r="R349" s="227"/>
      <c r="S349" s="228" t="e">
        <f>IF(C349="",NA(),MATCH($B349&amp;$C349,'Smelter Reference List'!$J:$J,0))</f>
        <v>#N/A</v>
      </c>
      <c r="T349" s="229"/>
      <c r="U349" s="229">
        <f t="shared" ca="1" si="12"/>
        <v>0</v>
      </c>
      <c r="V349" s="229"/>
      <c r="W349" s="229"/>
      <c r="Y349" s="223" t="str">
        <f t="shared" si="13"/>
        <v/>
      </c>
    </row>
    <row r="350" spans="1:25" s="223" customFormat="1" ht="20.25">
      <c r="A350" s="291"/>
      <c r="B350" s="292" t="str">
        <f>IF(LEN(A350)=0,"",INDEX('Smelter Reference List'!$A:$A,MATCH($A350,'Smelter Reference List'!$E:$E,0)))</f>
        <v/>
      </c>
      <c r="C350" s="298" t="str">
        <f>IF(LEN(A350)=0,"",INDEX('Smelter Reference List'!$C:$C,MATCH($A350,'Smelter Reference List'!$E:$E,0)))</f>
        <v/>
      </c>
      <c r="D350" s="292" t="str">
        <f ca="1">IF(ISERROR($S350),"",OFFSET('Smelter Reference List'!$C$4,$S350-4,0)&amp;"")</f>
        <v/>
      </c>
      <c r="E350" s="292" t="str">
        <f ca="1">IF(ISERROR($S350),"",OFFSET('Smelter Reference List'!$D$4,$S350-4,0)&amp;"")</f>
        <v/>
      </c>
      <c r="F350" s="292" t="str">
        <f ca="1">IF(ISERROR($S350),"",OFFSET('Smelter Reference List'!$E$4,$S350-4,0))</f>
        <v/>
      </c>
      <c r="G350" s="292" t="str">
        <f ca="1">IF(C350=$U$4,"Enter smelter details", IF(ISERROR($S350),"",OFFSET('Smelter Reference List'!$F$4,$S350-4,0)))</f>
        <v/>
      </c>
      <c r="H350" s="293" t="str">
        <f ca="1">IF(ISERROR($S350),"",OFFSET('Smelter Reference List'!$G$4,$S350-4,0))</f>
        <v/>
      </c>
      <c r="I350" s="294" t="str">
        <f ca="1">IF(ISERROR($S350),"",OFFSET('Smelter Reference List'!$H$4,$S350-4,0))</f>
        <v/>
      </c>
      <c r="J350" s="294" t="str">
        <f ca="1">IF(ISERROR($S350),"",OFFSET('Smelter Reference List'!$I$4,$S350-4,0))</f>
        <v/>
      </c>
      <c r="K350" s="295"/>
      <c r="L350" s="295"/>
      <c r="M350" s="295"/>
      <c r="N350" s="295"/>
      <c r="O350" s="295"/>
      <c r="P350" s="295"/>
      <c r="Q350" s="296"/>
      <c r="R350" s="227"/>
      <c r="S350" s="228" t="e">
        <f>IF(C350="",NA(),MATCH($B350&amp;$C350,'Smelter Reference List'!$J:$J,0))</f>
        <v>#N/A</v>
      </c>
      <c r="T350" s="229"/>
      <c r="U350" s="229">
        <f t="shared" ca="1" si="12"/>
        <v>0</v>
      </c>
      <c r="V350" s="229"/>
      <c r="W350" s="229"/>
      <c r="Y350" s="223" t="str">
        <f t="shared" si="13"/>
        <v/>
      </c>
    </row>
    <row r="351" spans="1:25" s="223" customFormat="1" ht="20.25">
      <c r="A351" s="291"/>
      <c r="B351" s="292" t="str">
        <f>IF(LEN(A351)=0,"",INDEX('Smelter Reference List'!$A:$A,MATCH($A351,'Smelter Reference List'!$E:$E,0)))</f>
        <v/>
      </c>
      <c r="C351" s="298" t="str">
        <f>IF(LEN(A351)=0,"",INDEX('Smelter Reference List'!$C:$C,MATCH($A351,'Smelter Reference List'!$E:$E,0)))</f>
        <v/>
      </c>
      <c r="D351" s="292" t="str">
        <f ca="1">IF(ISERROR($S351),"",OFFSET('Smelter Reference List'!$C$4,$S351-4,0)&amp;"")</f>
        <v/>
      </c>
      <c r="E351" s="292" t="str">
        <f ca="1">IF(ISERROR($S351),"",OFFSET('Smelter Reference List'!$D$4,$S351-4,0)&amp;"")</f>
        <v/>
      </c>
      <c r="F351" s="292" t="str">
        <f ca="1">IF(ISERROR($S351),"",OFFSET('Smelter Reference List'!$E$4,$S351-4,0))</f>
        <v/>
      </c>
      <c r="G351" s="292" t="str">
        <f ca="1">IF(C351=$U$4,"Enter smelter details", IF(ISERROR($S351),"",OFFSET('Smelter Reference List'!$F$4,$S351-4,0)))</f>
        <v/>
      </c>
      <c r="H351" s="293" t="str">
        <f ca="1">IF(ISERROR($S351),"",OFFSET('Smelter Reference List'!$G$4,$S351-4,0))</f>
        <v/>
      </c>
      <c r="I351" s="294" t="str">
        <f ca="1">IF(ISERROR($S351),"",OFFSET('Smelter Reference List'!$H$4,$S351-4,0))</f>
        <v/>
      </c>
      <c r="J351" s="294" t="str">
        <f ca="1">IF(ISERROR($S351),"",OFFSET('Smelter Reference List'!$I$4,$S351-4,0))</f>
        <v/>
      </c>
      <c r="K351" s="295"/>
      <c r="L351" s="295"/>
      <c r="M351" s="295"/>
      <c r="N351" s="295"/>
      <c r="O351" s="295"/>
      <c r="P351" s="295"/>
      <c r="Q351" s="296"/>
      <c r="R351" s="227"/>
      <c r="S351" s="228" t="e">
        <f>IF(C351="",NA(),MATCH($B351&amp;$C351,'Smelter Reference List'!$J:$J,0))</f>
        <v>#N/A</v>
      </c>
      <c r="T351" s="229"/>
      <c r="U351" s="229">
        <f t="shared" ca="1" si="12"/>
        <v>0</v>
      </c>
      <c r="V351" s="229"/>
      <c r="W351" s="229"/>
      <c r="Y351" s="223" t="str">
        <f t="shared" si="13"/>
        <v/>
      </c>
    </row>
    <row r="352" spans="1:25" s="223" customFormat="1" ht="20.25">
      <c r="A352" s="291"/>
      <c r="B352" s="292" t="str">
        <f>IF(LEN(A352)=0,"",INDEX('Smelter Reference List'!$A:$A,MATCH($A352,'Smelter Reference List'!$E:$E,0)))</f>
        <v/>
      </c>
      <c r="C352" s="298" t="str">
        <f>IF(LEN(A352)=0,"",INDEX('Smelter Reference List'!$C:$C,MATCH($A352,'Smelter Reference List'!$E:$E,0)))</f>
        <v/>
      </c>
      <c r="D352" s="292" t="str">
        <f ca="1">IF(ISERROR($S352),"",OFFSET('Smelter Reference List'!$C$4,$S352-4,0)&amp;"")</f>
        <v/>
      </c>
      <c r="E352" s="292" t="str">
        <f ca="1">IF(ISERROR($S352),"",OFFSET('Smelter Reference List'!$D$4,$S352-4,0)&amp;"")</f>
        <v/>
      </c>
      <c r="F352" s="292" t="str">
        <f ca="1">IF(ISERROR($S352),"",OFFSET('Smelter Reference List'!$E$4,$S352-4,0))</f>
        <v/>
      </c>
      <c r="G352" s="292" t="str">
        <f ca="1">IF(C352=$U$4,"Enter smelter details", IF(ISERROR($S352),"",OFFSET('Smelter Reference List'!$F$4,$S352-4,0)))</f>
        <v/>
      </c>
      <c r="H352" s="293" t="str">
        <f ca="1">IF(ISERROR($S352),"",OFFSET('Smelter Reference List'!$G$4,$S352-4,0))</f>
        <v/>
      </c>
      <c r="I352" s="294" t="str">
        <f ca="1">IF(ISERROR($S352),"",OFFSET('Smelter Reference List'!$H$4,$S352-4,0))</f>
        <v/>
      </c>
      <c r="J352" s="294" t="str">
        <f ca="1">IF(ISERROR($S352),"",OFFSET('Smelter Reference List'!$I$4,$S352-4,0))</f>
        <v/>
      </c>
      <c r="K352" s="295"/>
      <c r="L352" s="295"/>
      <c r="M352" s="295"/>
      <c r="N352" s="295"/>
      <c r="O352" s="295"/>
      <c r="P352" s="295"/>
      <c r="Q352" s="296"/>
      <c r="R352" s="227"/>
      <c r="S352" s="228" t="e">
        <f>IF(C352="",NA(),MATCH($B352&amp;$C352,'Smelter Reference List'!$J:$J,0))</f>
        <v>#N/A</v>
      </c>
      <c r="T352" s="229"/>
      <c r="U352" s="229">
        <f t="shared" ca="1" si="12"/>
        <v>0</v>
      </c>
      <c r="V352" s="229"/>
      <c r="W352" s="229"/>
      <c r="Y352" s="223" t="str">
        <f t="shared" si="13"/>
        <v/>
      </c>
    </row>
    <row r="353" spans="1:25" s="223" customFormat="1" ht="20.25">
      <c r="A353" s="291"/>
      <c r="B353" s="292" t="str">
        <f>IF(LEN(A353)=0,"",INDEX('Smelter Reference List'!$A:$A,MATCH($A353,'Smelter Reference List'!$E:$E,0)))</f>
        <v/>
      </c>
      <c r="C353" s="298" t="str">
        <f>IF(LEN(A353)=0,"",INDEX('Smelter Reference List'!$C:$C,MATCH($A353,'Smelter Reference List'!$E:$E,0)))</f>
        <v/>
      </c>
      <c r="D353" s="292" t="str">
        <f ca="1">IF(ISERROR($S353),"",OFFSET('Smelter Reference List'!$C$4,$S353-4,0)&amp;"")</f>
        <v/>
      </c>
      <c r="E353" s="292" t="str">
        <f ca="1">IF(ISERROR($S353),"",OFFSET('Smelter Reference List'!$D$4,$S353-4,0)&amp;"")</f>
        <v/>
      </c>
      <c r="F353" s="292" t="str">
        <f ca="1">IF(ISERROR($S353),"",OFFSET('Smelter Reference List'!$E$4,$S353-4,0))</f>
        <v/>
      </c>
      <c r="G353" s="292" t="str">
        <f ca="1">IF(C353=$U$4,"Enter smelter details", IF(ISERROR($S353),"",OFFSET('Smelter Reference List'!$F$4,$S353-4,0)))</f>
        <v/>
      </c>
      <c r="H353" s="293" t="str">
        <f ca="1">IF(ISERROR($S353),"",OFFSET('Smelter Reference List'!$G$4,$S353-4,0))</f>
        <v/>
      </c>
      <c r="I353" s="294" t="str">
        <f ca="1">IF(ISERROR($S353),"",OFFSET('Smelter Reference List'!$H$4,$S353-4,0))</f>
        <v/>
      </c>
      <c r="J353" s="294" t="str">
        <f ca="1">IF(ISERROR($S353),"",OFFSET('Smelter Reference List'!$I$4,$S353-4,0))</f>
        <v/>
      </c>
      <c r="K353" s="295"/>
      <c r="L353" s="295"/>
      <c r="M353" s="295"/>
      <c r="N353" s="295"/>
      <c r="O353" s="295"/>
      <c r="P353" s="295"/>
      <c r="Q353" s="296"/>
      <c r="R353" s="227"/>
      <c r="S353" s="228" t="e">
        <f>IF(C353="",NA(),MATCH($B353&amp;$C353,'Smelter Reference List'!$J:$J,0))</f>
        <v>#N/A</v>
      </c>
      <c r="T353" s="229"/>
      <c r="U353" s="229">
        <f t="shared" ca="1" si="12"/>
        <v>0</v>
      </c>
      <c r="V353" s="229"/>
      <c r="W353" s="229"/>
      <c r="Y353" s="223" t="str">
        <f t="shared" si="13"/>
        <v/>
      </c>
    </row>
    <row r="354" spans="1:25" s="223" customFormat="1" ht="20.25">
      <c r="A354" s="291"/>
      <c r="B354" s="292" t="str">
        <f>IF(LEN(A354)=0,"",INDEX('Smelter Reference List'!$A:$A,MATCH($A354,'Smelter Reference List'!$E:$E,0)))</f>
        <v/>
      </c>
      <c r="C354" s="298" t="str">
        <f>IF(LEN(A354)=0,"",INDEX('Smelter Reference List'!$C:$C,MATCH($A354,'Smelter Reference List'!$E:$E,0)))</f>
        <v/>
      </c>
      <c r="D354" s="292" t="str">
        <f ca="1">IF(ISERROR($S354),"",OFFSET('Smelter Reference List'!$C$4,$S354-4,0)&amp;"")</f>
        <v/>
      </c>
      <c r="E354" s="292" t="str">
        <f ca="1">IF(ISERROR($S354),"",OFFSET('Smelter Reference List'!$D$4,$S354-4,0)&amp;"")</f>
        <v/>
      </c>
      <c r="F354" s="292" t="str">
        <f ca="1">IF(ISERROR($S354),"",OFFSET('Smelter Reference List'!$E$4,$S354-4,0))</f>
        <v/>
      </c>
      <c r="G354" s="292" t="str">
        <f ca="1">IF(C354=$U$4,"Enter smelter details", IF(ISERROR($S354),"",OFFSET('Smelter Reference List'!$F$4,$S354-4,0)))</f>
        <v/>
      </c>
      <c r="H354" s="293" t="str">
        <f ca="1">IF(ISERROR($S354),"",OFFSET('Smelter Reference List'!$G$4,$S354-4,0))</f>
        <v/>
      </c>
      <c r="I354" s="294" t="str">
        <f ca="1">IF(ISERROR($S354),"",OFFSET('Smelter Reference List'!$H$4,$S354-4,0))</f>
        <v/>
      </c>
      <c r="J354" s="294" t="str">
        <f ca="1">IF(ISERROR($S354),"",OFFSET('Smelter Reference List'!$I$4,$S354-4,0))</f>
        <v/>
      </c>
      <c r="K354" s="295"/>
      <c r="L354" s="295"/>
      <c r="M354" s="295"/>
      <c r="N354" s="295"/>
      <c r="O354" s="295"/>
      <c r="P354" s="295"/>
      <c r="Q354" s="296"/>
      <c r="R354" s="227"/>
      <c r="S354" s="228" t="e">
        <f>IF(C354="",NA(),MATCH($B354&amp;$C354,'Smelter Reference List'!$J:$J,0))</f>
        <v>#N/A</v>
      </c>
      <c r="T354" s="229"/>
      <c r="U354" s="229">
        <f t="shared" ca="1" si="12"/>
        <v>0</v>
      </c>
      <c r="V354" s="229"/>
      <c r="W354" s="229"/>
      <c r="Y354" s="223" t="str">
        <f t="shared" si="13"/>
        <v/>
      </c>
    </row>
    <row r="355" spans="1:25" s="223" customFormat="1" ht="20.25">
      <c r="A355" s="291"/>
      <c r="B355" s="292" t="str">
        <f>IF(LEN(A355)=0,"",INDEX('Smelter Reference List'!$A:$A,MATCH($A355,'Smelter Reference List'!$E:$E,0)))</f>
        <v/>
      </c>
      <c r="C355" s="298" t="str">
        <f>IF(LEN(A355)=0,"",INDEX('Smelter Reference List'!$C:$C,MATCH($A355,'Smelter Reference List'!$E:$E,0)))</f>
        <v/>
      </c>
      <c r="D355" s="292" t="str">
        <f ca="1">IF(ISERROR($S355),"",OFFSET('Smelter Reference List'!$C$4,$S355-4,0)&amp;"")</f>
        <v/>
      </c>
      <c r="E355" s="292" t="str">
        <f ca="1">IF(ISERROR($S355),"",OFFSET('Smelter Reference List'!$D$4,$S355-4,0)&amp;"")</f>
        <v/>
      </c>
      <c r="F355" s="292" t="str">
        <f ca="1">IF(ISERROR($S355),"",OFFSET('Smelter Reference List'!$E$4,$S355-4,0))</f>
        <v/>
      </c>
      <c r="G355" s="292" t="str">
        <f ca="1">IF(C355=$U$4,"Enter smelter details", IF(ISERROR($S355),"",OFFSET('Smelter Reference List'!$F$4,$S355-4,0)))</f>
        <v/>
      </c>
      <c r="H355" s="293" t="str">
        <f ca="1">IF(ISERROR($S355),"",OFFSET('Smelter Reference List'!$G$4,$S355-4,0))</f>
        <v/>
      </c>
      <c r="I355" s="294" t="str">
        <f ca="1">IF(ISERROR($S355),"",OFFSET('Smelter Reference List'!$H$4,$S355-4,0))</f>
        <v/>
      </c>
      <c r="J355" s="294" t="str">
        <f ca="1">IF(ISERROR($S355),"",OFFSET('Smelter Reference List'!$I$4,$S355-4,0))</f>
        <v/>
      </c>
      <c r="K355" s="295"/>
      <c r="L355" s="295"/>
      <c r="M355" s="295"/>
      <c r="N355" s="295"/>
      <c r="O355" s="295"/>
      <c r="P355" s="295"/>
      <c r="Q355" s="296"/>
      <c r="R355" s="227"/>
      <c r="S355" s="228" t="e">
        <f>IF(C355="",NA(),MATCH($B355&amp;$C355,'Smelter Reference List'!$J:$J,0))</f>
        <v>#N/A</v>
      </c>
      <c r="T355" s="229"/>
      <c r="U355" s="229">
        <f t="shared" ca="1" si="12"/>
        <v>0</v>
      </c>
      <c r="V355" s="229"/>
      <c r="W355" s="229"/>
      <c r="Y355" s="223" t="str">
        <f t="shared" si="13"/>
        <v/>
      </c>
    </row>
    <row r="356" spans="1:25" s="223" customFormat="1" ht="20.25">
      <c r="A356" s="291"/>
      <c r="B356" s="292" t="str">
        <f>IF(LEN(A356)=0,"",INDEX('Smelter Reference List'!$A:$A,MATCH($A356,'Smelter Reference List'!$E:$E,0)))</f>
        <v/>
      </c>
      <c r="C356" s="298" t="str">
        <f>IF(LEN(A356)=0,"",INDEX('Smelter Reference List'!$C:$C,MATCH($A356,'Smelter Reference List'!$E:$E,0)))</f>
        <v/>
      </c>
      <c r="D356" s="292" t="str">
        <f ca="1">IF(ISERROR($S356),"",OFFSET('Smelter Reference List'!$C$4,$S356-4,0)&amp;"")</f>
        <v/>
      </c>
      <c r="E356" s="292" t="str">
        <f ca="1">IF(ISERROR($S356),"",OFFSET('Smelter Reference List'!$D$4,$S356-4,0)&amp;"")</f>
        <v/>
      </c>
      <c r="F356" s="292" t="str">
        <f ca="1">IF(ISERROR($S356),"",OFFSET('Smelter Reference List'!$E$4,$S356-4,0))</f>
        <v/>
      </c>
      <c r="G356" s="292" t="str">
        <f ca="1">IF(C356=$U$4,"Enter smelter details", IF(ISERROR($S356),"",OFFSET('Smelter Reference List'!$F$4,$S356-4,0)))</f>
        <v/>
      </c>
      <c r="H356" s="293" t="str">
        <f ca="1">IF(ISERROR($S356),"",OFFSET('Smelter Reference List'!$G$4,$S356-4,0))</f>
        <v/>
      </c>
      <c r="I356" s="294" t="str">
        <f ca="1">IF(ISERROR($S356),"",OFFSET('Smelter Reference List'!$H$4,$S356-4,0))</f>
        <v/>
      </c>
      <c r="J356" s="294" t="str">
        <f ca="1">IF(ISERROR($S356),"",OFFSET('Smelter Reference List'!$I$4,$S356-4,0))</f>
        <v/>
      </c>
      <c r="K356" s="295"/>
      <c r="L356" s="295"/>
      <c r="M356" s="295"/>
      <c r="N356" s="295"/>
      <c r="O356" s="295"/>
      <c r="P356" s="295"/>
      <c r="Q356" s="296"/>
      <c r="R356" s="227"/>
      <c r="S356" s="228" t="e">
        <f>IF(C356="",NA(),MATCH($B356&amp;$C356,'Smelter Reference List'!$J:$J,0))</f>
        <v>#N/A</v>
      </c>
      <c r="T356" s="229"/>
      <c r="U356" s="229">
        <f t="shared" ca="1" si="12"/>
        <v>0</v>
      </c>
      <c r="V356" s="229"/>
      <c r="W356" s="229"/>
      <c r="Y356" s="223" t="str">
        <f t="shared" si="13"/>
        <v/>
      </c>
    </row>
    <row r="357" spans="1:25" s="223" customFormat="1" ht="20.25">
      <c r="A357" s="291"/>
      <c r="B357" s="292" t="str">
        <f>IF(LEN(A357)=0,"",INDEX('Smelter Reference List'!$A:$A,MATCH($A357,'Smelter Reference List'!$E:$E,0)))</f>
        <v/>
      </c>
      <c r="C357" s="298" t="str">
        <f>IF(LEN(A357)=0,"",INDEX('Smelter Reference List'!$C:$C,MATCH($A357,'Smelter Reference List'!$E:$E,0)))</f>
        <v/>
      </c>
      <c r="D357" s="292" t="str">
        <f ca="1">IF(ISERROR($S357),"",OFFSET('Smelter Reference List'!$C$4,$S357-4,0)&amp;"")</f>
        <v/>
      </c>
      <c r="E357" s="292" t="str">
        <f ca="1">IF(ISERROR($S357),"",OFFSET('Smelter Reference List'!$D$4,$S357-4,0)&amp;"")</f>
        <v/>
      </c>
      <c r="F357" s="292" t="str">
        <f ca="1">IF(ISERROR($S357),"",OFFSET('Smelter Reference List'!$E$4,$S357-4,0))</f>
        <v/>
      </c>
      <c r="G357" s="292" t="str">
        <f ca="1">IF(C357=$U$4,"Enter smelter details", IF(ISERROR($S357),"",OFFSET('Smelter Reference List'!$F$4,$S357-4,0)))</f>
        <v/>
      </c>
      <c r="H357" s="293" t="str">
        <f ca="1">IF(ISERROR($S357),"",OFFSET('Smelter Reference List'!$G$4,$S357-4,0))</f>
        <v/>
      </c>
      <c r="I357" s="294" t="str">
        <f ca="1">IF(ISERROR($S357),"",OFFSET('Smelter Reference List'!$H$4,$S357-4,0))</f>
        <v/>
      </c>
      <c r="J357" s="294" t="str">
        <f ca="1">IF(ISERROR($S357),"",OFFSET('Smelter Reference List'!$I$4,$S357-4,0))</f>
        <v/>
      </c>
      <c r="K357" s="295"/>
      <c r="L357" s="295"/>
      <c r="M357" s="295"/>
      <c r="N357" s="295"/>
      <c r="O357" s="295"/>
      <c r="P357" s="295"/>
      <c r="Q357" s="296"/>
      <c r="R357" s="227"/>
      <c r="S357" s="228" t="e">
        <f>IF(C357="",NA(),MATCH($B357&amp;$C357,'Smelter Reference List'!$J:$J,0))</f>
        <v>#N/A</v>
      </c>
      <c r="T357" s="229"/>
      <c r="U357" s="229">
        <f t="shared" ca="1" si="12"/>
        <v>0</v>
      </c>
      <c r="V357" s="229"/>
      <c r="W357" s="229"/>
      <c r="Y357" s="223" t="str">
        <f t="shared" si="13"/>
        <v/>
      </c>
    </row>
    <row r="358" spans="1:25" s="223" customFormat="1" ht="20.25">
      <c r="A358" s="291"/>
      <c r="B358" s="292" t="str">
        <f>IF(LEN(A358)=0,"",INDEX('Smelter Reference List'!$A:$A,MATCH($A358,'Smelter Reference List'!$E:$E,0)))</f>
        <v/>
      </c>
      <c r="C358" s="298" t="str">
        <f>IF(LEN(A358)=0,"",INDEX('Smelter Reference List'!$C:$C,MATCH($A358,'Smelter Reference List'!$E:$E,0)))</f>
        <v/>
      </c>
      <c r="D358" s="292" t="str">
        <f ca="1">IF(ISERROR($S358),"",OFFSET('Smelter Reference List'!$C$4,$S358-4,0)&amp;"")</f>
        <v/>
      </c>
      <c r="E358" s="292" t="str">
        <f ca="1">IF(ISERROR($S358),"",OFFSET('Smelter Reference List'!$D$4,$S358-4,0)&amp;"")</f>
        <v/>
      </c>
      <c r="F358" s="292" t="str">
        <f ca="1">IF(ISERROR($S358),"",OFFSET('Smelter Reference List'!$E$4,$S358-4,0))</f>
        <v/>
      </c>
      <c r="G358" s="292" t="str">
        <f ca="1">IF(C358=$U$4,"Enter smelter details", IF(ISERROR($S358),"",OFFSET('Smelter Reference List'!$F$4,$S358-4,0)))</f>
        <v/>
      </c>
      <c r="H358" s="293" t="str">
        <f ca="1">IF(ISERROR($S358),"",OFFSET('Smelter Reference List'!$G$4,$S358-4,0))</f>
        <v/>
      </c>
      <c r="I358" s="294" t="str">
        <f ca="1">IF(ISERROR($S358),"",OFFSET('Smelter Reference List'!$H$4,$S358-4,0))</f>
        <v/>
      </c>
      <c r="J358" s="294" t="str">
        <f ca="1">IF(ISERROR($S358),"",OFFSET('Smelter Reference List'!$I$4,$S358-4,0))</f>
        <v/>
      </c>
      <c r="K358" s="295"/>
      <c r="L358" s="295"/>
      <c r="M358" s="295"/>
      <c r="N358" s="295"/>
      <c r="O358" s="295"/>
      <c r="P358" s="295"/>
      <c r="Q358" s="296"/>
      <c r="R358" s="227"/>
      <c r="S358" s="228" t="e">
        <f>IF(C358="",NA(),MATCH($B358&amp;$C358,'Smelter Reference List'!$J:$J,0))</f>
        <v>#N/A</v>
      </c>
      <c r="T358" s="229"/>
      <c r="U358" s="229">
        <f t="shared" ca="1" si="12"/>
        <v>0</v>
      </c>
      <c r="V358" s="229"/>
      <c r="W358" s="229"/>
      <c r="Y358" s="223" t="str">
        <f t="shared" si="13"/>
        <v/>
      </c>
    </row>
    <row r="359" spans="1:25" s="223" customFormat="1" ht="20.25">
      <c r="A359" s="291"/>
      <c r="B359" s="292" t="str">
        <f>IF(LEN(A359)=0,"",INDEX('Smelter Reference List'!$A:$A,MATCH($A359,'Smelter Reference List'!$E:$E,0)))</f>
        <v/>
      </c>
      <c r="C359" s="298" t="str">
        <f>IF(LEN(A359)=0,"",INDEX('Smelter Reference List'!$C:$C,MATCH($A359,'Smelter Reference List'!$E:$E,0)))</f>
        <v/>
      </c>
      <c r="D359" s="292" t="str">
        <f ca="1">IF(ISERROR($S359),"",OFFSET('Smelter Reference List'!$C$4,$S359-4,0)&amp;"")</f>
        <v/>
      </c>
      <c r="E359" s="292" t="str">
        <f ca="1">IF(ISERROR($S359),"",OFFSET('Smelter Reference List'!$D$4,$S359-4,0)&amp;"")</f>
        <v/>
      </c>
      <c r="F359" s="292" t="str">
        <f ca="1">IF(ISERROR($S359),"",OFFSET('Smelter Reference List'!$E$4,$S359-4,0))</f>
        <v/>
      </c>
      <c r="G359" s="292" t="str">
        <f ca="1">IF(C359=$U$4,"Enter smelter details", IF(ISERROR($S359),"",OFFSET('Smelter Reference List'!$F$4,$S359-4,0)))</f>
        <v/>
      </c>
      <c r="H359" s="293" t="str">
        <f ca="1">IF(ISERROR($S359),"",OFFSET('Smelter Reference List'!$G$4,$S359-4,0))</f>
        <v/>
      </c>
      <c r="I359" s="294" t="str">
        <f ca="1">IF(ISERROR($S359),"",OFFSET('Smelter Reference List'!$H$4,$S359-4,0))</f>
        <v/>
      </c>
      <c r="J359" s="294" t="str">
        <f ca="1">IF(ISERROR($S359),"",OFFSET('Smelter Reference List'!$I$4,$S359-4,0))</f>
        <v/>
      </c>
      <c r="K359" s="295"/>
      <c r="L359" s="295"/>
      <c r="M359" s="295"/>
      <c r="N359" s="295"/>
      <c r="O359" s="295"/>
      <c r="P359" s="295"/>
      <c r="Q359" s="296"/>
      <c r="R359" s="227"/>
      <c r="S359" s="228" t="e">
        <f>IF(C359="",NA(),MATCH($B359&amp;$C359,'Smelter Reference List'!$J:$J,0))</f>
        <v>#N/A</v>
      </c>
      <c r="T359" s="229"/>
      <c r="U359" s="229">
        <f t="shared" ca="1" si="12"/>
        <v>0</v>
      </c>
      <c r="V359" s="229"/>
      <c r="W359" s="229"/>
      <c r="Y359" s="223" t="str">
        <f t="shared" si="13"/>
        <v/>
      </c>
    </row>
    <row r="360" spans="1:25" s="223" customFormat="1" ht="20.25">
      <c r="A360" s="291"/>
      <c r="B360" s="292" t="str">
        <f>IF(LEN(A360)=0,"",INDEX('Smelter Reference List'!$A:$A,MATCH($A360,'Smelter Reference List'!$E:$E,0)))</f>
        <v/>
      </c>
      <c r="C360" s="298" t="str">
        <f>IF(LEN(A360)=0,"",INDEX('Smelter Reference List'!$C:$C,MATCH($A360,'Smelter Reference List'!$E:$E,0)))</f>
        <v/>
      </c>
      <c r="D360" s="292" t="str">
        <f ca="1">IF(ISERROR($S360),"",OFFSET('Smelter Reference List'!$C$4,$S360-4,0)&amp;"")</f>
        <v/>
      </c>
      <c r="E360" s="292" t="str">
        <f ca="1">IF(ISERROR($S360),"",OFFSET('Smelter Reference List'!$D$4,$S360-4,0)&amp;"")</f>
        <v/>
      </c>
      <c r="F360" s="292" t="str">
        <f ca="1">IF(ISERROR($S360),"",OFFSET('Smelter Reference List'!$E$4,$S360-4,0))</f>
        <v/>
      </c>
      <c r="G360" s="292" t="str">
        <f ca="1">IF(C360=$U$4,"Enter smelter details", IF(ISERROR($S360),"",OFFSET('Smelter Reference List'!$F$4,$S360-4,0)))</f>
        <v/>
      </c>
      <c r="H360" s="293" t="str">
        <f ca="1">IF(ISERROR($S360),"",OFFSET('Smelter Reference List'!$G$4,$S360-4,0))</f>
        <v/>
      </c>
      <c r="I360" s="294" t="str">
        <f ca="1">IF(ISERROR($S360),"",OFFSET('Smelter Reference List'!$H$4,$S360-4,0))</f>
        <v/>
      </c>
      <c r="J360" s="294" t="str">
        <f ca="1">IF(ISERROR($S360),"",OFFSET('Smelter Reference List'!$I$4,$S360-4,0))</f>
        <v/>
      </c>
      <c r="K360" s="295"/>
      <c r="L360" s="295"/>
      <c r="M360" s="295"/>
      <c r="N360" s="295"/>
      <c r="O360" s="295"/>
      <c r="P360" s="295"/>
      <c r="Q360" s="296"/>
      <c r="R360" s="227"/>
      <c r="S360" s="228" t="e">
        <f>IF(C360="",NA(),MATCH($B360&amp;$C360,'Smelter Reference List'!$J:$J,0))</f>
        <v>#N/A</v>
      </c>
      <c r="T360" s="229"/>
      <c r="U360" s="229">
        <f t="shared" ca="1" si="12"/>
        <v>0</v>
      </c>
      <c r="V360" s="229"/>
      <c r="W360" s="229"/>
      <c r="Y360" s="223" t="str">
        <f t="shared" si="13"/>
        <v/>
      </c>
    </row>
    <row r="361" spans="1:25" s="223" customFormat="1" ht="20.25">
      <c r="A361" s="291"/>
      <c r="B361" s="292" t="str">
        <f>IF(LEN(A361)=0,"",INDEX('Smelter Reference List'!$A:$A,MATCH($A361,'Smelter Reference List'!$E:$E,0)))</f>
        <v/>
      </c>
      <c r="C361" s="298" t="str">
        <f>IF(LEN(A361)=0,"",INDEX('Smelter Reference List'!$C:$C,MATCH($A361,'Smelter Reference List'!$E:$E,0)))</f>
        <v/>
      </c>
      <c r="D361" s="292" t="str">
        <f ca="1">IF(ISERROR($S361),"",OFFSET('Smelter Reference List'!$C$4,$S361-4,0)&amp;"")</f>
        <v/>
      </c>
      <c r="E361" s="292" t="str">
        <f ca="1">IF(ISERROR($S361),"",OFFSET('Smelter Reference List'!$D$4,$S361-4,0)&amp;"")</f>
        <v/>
      </c>
      <c r="F361" s="292" t="str">
        <f ca="1">IF(ISERROR($S361),"",OFFSET('Smelter Reference List'!$E$4,$S361-4,0))</f>
        <v/>
      </c>
      <c r="G361" s="292" t="str">
        <f ca="1">IF(C361=$U$4,"Enter smelter details", IF(ISERROR($S361),"",OFFSET('Smelter Reference List'!$F$4,$S361-4,0)))</f>
        <v/>
      </c>
      <c r="H361" s="293" t="str">
        <f ca="1">IF(ISERROR($S361),"",OFFSET('Smelter Reference List'!$G$4,$S361-4,0))</f>
        <v/>
      </c>
      <c r="I361" s="294" t="str">
        <f ca="1">IF(ISERROR($S361),"",OFFSET('Smelter Reference List'!$H$4,$S361-4,0))</f>
        <v/>
      </c>
      <c r="J361" s="294" t="str">
        <f ca="1">IF(ISERROR($S361),"",OFFSET('Smelter Reference List'!$I$4,$S361-4,0))</f>
        <v/>
      </c>
      <c r="K361" s="295"/>
      <c r="L361" s="295"/>
      <c r="M361" s="295"/>
      <c r="N361" s="295"/>
      <c r="O361" s="295"/>
      <c r="P361" s="295"/>
      <c r="Q361" s="296"/>
      <c r="R361" s="227"/>
      <c r="S361" s="228" t="e">
        <f>IF(C361="",NA(),MATCH($B361&amp;$C361,'Smelter Reference List'!$J:$J,0))</f>
        <v>#N/A</v>
      </c>
      <c r="T361" s="229"/>
      <c r="U361" s="229">
        <f t="shared" ca="1" si="12"/>
        <v>0</v>
      </c>
      <c r="V361" s="229"/>
      <c r="W361" s="229"/>
      <c r="Y361" s="223" t="str">
        <f t="shared" si="13"/>
        <v/>
      </c>
    </row>
    <row r="362" spans="1:25" s="223" customFormat="1" ht="20.25">
      <c r="A362" s="291"/>
      <c r="B362" s="292" t="str">
        <f>IF(LEN(A362)=0,"",INDEX('Smelter Reference List'!$A:$A,MATCH($A362,'Smelter Reference List'!$E:$E,0)))</f>
        <v/>
      </c>
      <c r="C362" s="298" t="str">
        <f>IF(LEN(A362)=0,"",INDEX('Smelter Reference List'!$C:$C,MATCH($A362,'Smelter Reference List'!$E:$E,0)))</f>
        <v/>
      </c>
      <c r="D362" s="292" t="str">
        <f ca="1">IF(ISERROR($S362),"",OFFSET('Smelter Reference List'!$C$4,$S362-4,0)&amp;"")</f>
        <v/>
      </c>
      <c r="E362" s="292" t="str">
        <f ca="1">IF(ISERROR($S362),"",OFFSET('Smelter Reference List'!$D$4,$S362-4,0)&amp;"")</f>
        <v/>
      </c>
      <c r="F362" s="292" t="str">
        <f ca="1">IF(ISERROR($S362),"",OFFSET('Smelter Reference List'!$E$4,$S362-4,0))</f>
        <v/>
      </c>
      <c r="G362" s="292" t="str">
        <f ca="1">IF(C362=$U$4,"Enter smelter details", IF(ISERROR($S362),"",OFFSET('Smelter Reference List'!$F$4,$S362-4,0)))</f>
        <v/>
      </c>
      <c r="H362" s="293" t="str">
        <f ca="1">IF(ISERROR($S362),"",OFFSET('Smelter Reference List'!$G$4,$S362-4,0))</f>
        <v/>
      </c>
      <c r="I362" s="294" t="str">
        <f ca="1">IF(ISERROR($S362),"",OFFSET('Smelter Reference List'!$H$4,$S362-4,0))</f>
        <v/>
      </c>
      <c r="J362" s="294" t="str">
        <f ca="1">IF(ISERROR($S362),"",OFFSET('Smelter Reference List'!$I$4,$S362-4,0))</f>
        <v/>
      </c>
      <c r="K362" s="295"/>
      <c r="L362" s="295"/>
      <c r="M362" s="295"/>
      <c r="N362" s="295"/>
      <c r="O362" s="295"/>
      <c r="P362" s="295"/>
      <c r="Q362" s="296"/>
      <c r="R362" s="227"/>
      <c r="S362" s="228" t="e">
        <f>IF(C362="",NA(),MATCH($B362&amp;$C362,'Smelter Reference List'!$J:$J,0))</f>
        <v>#N/A</v>
      </c>
      <c r="T362" s="229"/>
      <c r="U362" s="229">
        <f t="shared" ca="1" si="12"/>
        <v>0</v>
      </c>
      <c r="V362" s="229"/>
      <c r="W362" s="229"/>
      <c r="Y362" s="223" t="str">
        <f t="shared" si="13"/>
        <v/>
      </c>
    </row>
    <row r="363" spans="1:25" s="223" customFormat="1" ht="20.25">
      <c r="A363" s="291"/>
      <c r="B363" s="292" t="str">
        <f>IF(LEN(A363)=0,"",INDEX('Smelter Reference List'!$A:$A,MATCH($A363,'Smelter Reference List'!$E:$E,0)))</f>
        <v/>
      </c>
      <c r="C363" s="298" t="str">
        <f>IF(LEN(A363)=0,"",INDEX('Smelter Reference List'!$C:$C,MATCH($A363,'Smelter Reference List'!$E:$E,0)))</f>
        <v/>
      </c>
      <c r="D363" s="292" t="str">
        <f ca="1">IF(ISERROR($S363),"",OFFSET('Smelter Reference List'!$C$4,$S363-4,0)&amp;"")</f>
        <v/>
      </c>
      <c r="E363" s="292" t="str">
        <f ca="1">IF(ISERROR($S363),"",OFFSET('Smelter Reference List'!$D$4,$S363-4,0)&amp;"")</f>
        <v/>
      </c>
      <c r="F363" s="292" t="str">
        <f ca="1">IF(ISERROR($S363),"",OFFSET('Smelter Reference List'!$E$4,$S363-4,0))</f>
        <v/>
      </c>
      <c r="G363" s="292" t="str">
        <f ca="1">IF(C363=$U$4,"Enter smelter details", IF(ISERROR($S363),"",OFFSET('Smelter Reference List'!$F$4,$S363-4,0)))</f>
        <v/>
      </c>
      <c r="H363" s="293" t="str">
        <f ca="1">IF(ISERROR($S363),"",OFFSET('Smelter Reference List'!$G$4,$S363-4,0))</f>
        <v/>
      </c>
      <c r="I363" s="294" t="str">
        <f ca="1">IF(ISERROR($S363),"",OFFSET('Smelter Reference List'!$H$4,$S363-4,0))</f>
        <v/>
      </c>
      <c r="J363" s="294" t="str">
        <f ca="1">IF(ISERROR($S363),"",OFFSET('Smelter Reference List'!$I$4,$S363-4,0))</f>
        <v/>
      </c>
      <c r="K363" s="295"/>
      <c r="L363" s="295"/>
      <c r="M363" s="295"/>
      <c r="N363" s="295"/>
      <c r="O363" s="295"/>
      <c r="P363" s="295"/>
      <c r="Q363" s="296"/>
      <c r="R363" s="227"/>
      <c r="S363" s="228" t="e">
        <f>IF(C363="",NA(),MATCH($B363&amp;$C363,'Smelter Reference List'!$J:$J,0))</f>
        <v>#N/A</v>
      </c>
      <c r="T363" s="229"/>
      <c r="U363" s="229">
        <f t="shared" ca="1" si="12"/>
        <v>0</v>
      </c>
      <c r="V363" s="229"/>
      <c r="W363" s="229"/>
      <c r="Y363" s="223" t="str">
        <f t="shared" si="13"/>
        <v/>
      </c>
    </row>
    <row r="364" spans="1:25" s="223" customFormat="1" ht="20.25">
      <c r="A364" s="291"/>
      <c r="B364" s="292" t="str">
        <f>IF(LEN(A364)=0,"",INDEX('Smelter Reference List'!$A:$A,MATCH($A364,'Smelter Reference List'!$E:$E,0)))</f>
        <v/>
      </c>
      <c r="C364" s="298" t="str">
        <f>IF(LEN(A364)=0,"",INDEX('Smelter Reference List'!$C:$C,MATCH($A364,'Smelter Reference List'!$E:$E,0)))</f>
        <v/>
      </c>
      <c r="D364" s="292" t="str">
        <f ca="1">IF(ISERROR($S364),"",OFFSET('Smelter Reference List'!$C$4,$S364-4,0)&amp;"")</f>
        <v/>
      </c>
      <c r="E364" s="292" t="str">
        <f ca="1">IF(ISERROR($S364),"",OFFSET('Smelter Reference List'!$D$4,$S364-4,0)&amp;"")</f>
        <v/>
      </c>
      <c r="F364" s="292" t="str">
        <f ca="1">IF(ISERROR($S364),"",OFFSET('Smelter Reference List'!$E$4,$S364-4,0))</f>
        <v/>
      </c>
      <c r="G364" s="292" t="str">
        <f ca="1">IF(C364=$U$4,"Enter smelter details", IF(ISERROR($S364),"",OFFSET('Smelter Reference List'!$F$4,$S364-4,0)))</f>
        <v/>
      </c>
      <c r="H364" s="293" t="str">
        <f ca="1">IF(ISERROR($S364),"",OFFSET('Smelter Reference List'!$G$4,$S364-4,0))</f>
        <v/>
      </c>
      <c r="I364" s="294" t="str">
        <f ca="1">IF(ISERROR($S364),"",OFFSET('Smelter Reference List'!$H$4,$S364-4,0))</f>
        <v/>
      </c>
      <c r="J364" s="294" t="str">
        <f ca="1">IF(ISERROR($S364),"",OFFSET('Smelter Reference List'!$I$4,$S364-4,0))</f>
        <v/>
      </c>
      <c r="K364" s="295"/>
      <c r="L364" s="295"/>
      <c r="M364" s="295"/>
      <c r="N364" s="295"/>
      <c r="O364" s="295"/>
      <c r="P364" s="295"/>
      <c r="Q364" s="296"/>
      <c r="R364" s="227"/>
      <c r="S364" s="228" t="e">
        <f>IF(C364="",NA(),MATCH($B364&amp;$C364,'Smelter Reference List'!$J:$J,0))</f>
        <v>#N/A</v>
      </c>
      <c r="T364" s="229"/>
      <c r="U364" s="229">
        <f t="shared" ca="1" si="12"/>
        <v>0</v>
      </c>
      <c r="V364" s="229"/>
      <c r="W364" s="229"/>
      <c r="Y364" s="223" t="str">
        <f t="shared" si="13"/>
        <v/>
      </c>
    </row>
    <row r="365" spans="1:25" s="223" customFormat="1" ht="20.25">
      <c r="A365" s="291"/>
      <c r="B365" s="292" t="str">
        <f>IF(LEN(A365)=0,"",INDEX('Smelter Reference List'!$A:$A,MATCH($A365,'Smelter Reference List'!$E:$E,0)))</f>
        <v/>
      </c>
      <c r="C365" s="298" t="str">
        <f>IF(LEN(A365)=0,"",INDEX('Smelter Reference List'!$C:$C,MATCH($A365,'Smelter Reference List'!$E:$E,0)))</f>
        <v/>
      </c>
      <c r="D365" s="292" t="str">
        <f ca="1">IF(ISERROR($S365),"",OFFSET('Smelter Reference List'!$C$4,$S365-4,0)&amp;"")</f>
        <v/>
      </c>
      <c r="E365" s="292" t="str">
        <f ca="1">IF(ISERROR($S365),"",OFFSET('Smelter Reference List'!$D$4,$S365-4,0)&amp;"")</f>
        <v/>
      </c>
      <c r="F365" s="292" t="str">
        <f ca="1">IF(ISERROR($S365),"",OFFSET('Smelter Reference List'!$E$4,$S365-4,0))</f>
        <v/>
      </c>
      <c r="G365" s="292" t="str">
        <f ca="1">IF(C365=$U$4,"Enter smelter details", IF(ISERROR($S365),"",OFFSET('Smelter Reference List'!$F$4,$S365-4,0)))</f>
        <v/>
      </c>
      <c r="H365" s="293" t="str">
        <f ca="1">IF(ISERROR($S365),"",OFFSET('Smelter Reference List'!$G$4,$S365-4,0))</f>
        <v/>
      </c>
      <c r="I365" s="294" t="str">
        <f ca="1">IF(ISERROR($S365),"",OFFSET('Smelter Reference List'!$H$4,$S365-4,0))</f>
        <v/>
      </c>
      <c r="J365" s="294" t="str">
        <f ca="1">IF(ISERROR($S365),"",OFFSET('Smelter Reference List'!$I$4,$S365-4,0))</f>
        <v/>
      </c>
      <c r="K365" s="295"/>
      <c r="L365" s="295"/>
      <c r="M365" s="295"/>
      <c r="N365" s="295"/>
      <c r="O365" s="295"/>
      <c r="P365" s="295"/>
      <c r="Q365" s="296"/>
      <c r="R365" s="227"/>
      <c r="S365" s="228" t="e">
        <f>IF(C365="",NA(),MATCH($B365&amp;$C365,'Smelter Reference List'!$J:$J,0))</f>
        <v>#N/A</v>
      </c>
      <c r="T365" s="229"/>
      <c r="U365" s="229">
        <f t="shared" ca="1" si="12"/>
        <v>0</v>
      </c>
      <c r="V365" s="229"/>
      <c r="W365" s="229"/>
      <c r="Y365" s="223" t="str">
        <f t="shared" si="13"/>
        <v/>
      </c>
    </row>
    <row r="366" spans="1:25" s="223" customFormat="1" ht="20.25">
      <c r="A366" s="291"/>
      <c r="B366" s="292" t="str">
        <f>IF(LEN(A366)=0,"",INDEX('Smelter Reference List'!$A:$A,MATCH($A366,'Smelter Reference List'!$E:$E,0)))</f>
        <v/>
      </c>
      <c r="C366" s="298" t="str">
        <f>IF(LEN(A366)=0,"",INDEX('Smelter Reference List'!$C:$C,MATCH($A366,'Smelter Reference List'!$E:$E,0)))</f>
        <v/>
      </c>
      <c r="D366" s="292" t="str">
        <f ca="1">IF(ISERROR($S366),"",OFFSET('Smelter Reference List'!$C$4,$S366-4,0)&amp;"")</f>
        <v/>
      </c>
      <c r="E366" s="292" t="str">
        <f ca="1">IF(ISERROR($S366),"",OFFSET('Smelter Reference List'!$D$4,$S366-4,0)&amp;"")</f>
        <v/>
      </c>
      <c r="F366" s="292" t="str">
        <f ca="1">IF(ISERROR($S366),"",OFFSET('Smelter Reference List'!$E$4,$S366-4,0))</f>
        <v/>
      </c>
      <c r="G366" s="292" t="str">
        <f ca="1">IF(C366=$U$4,"Enter smelter details", IF(ISERROR($S366),"",OFFSET('Smelter Reference List'!$F$4,$S366-4,0)))</f>
        <v/>
      </c>
      <c r="H366" s="293" t="str">
        <f ca="1">IF(ISERROR($S366),"",OFFSET('Smelter Reference List'!$G$4,$S366-4,0))</f>
        <v/>
      </c>
      <c r="I366" s="294" t="str">
        <f ca="1">IF(ISERROR($S366),"",OFFSET('Smelter Reference List'!$H$4,$S366-4,0))</f>
        <v/>
      </c>
      <c r="J366" s="294" t="str">
        <f ca="1">IF(ISERROR($S366),"",OFFSET('Smelter Reference List'!$I$4,$S366-4,0))</f>
        <v/>
      </c>
      <c r="K366" s="295"/>
      <c r="L366" s="295"/>
      <c r="M366" s="295"/>
      <c r="N366" s="295"/>
      <c r="O366" s="295"/>
      <c r="P366" s="295"/>
      <c r="Q366" s="296"/>
      <c r="R366" s="227"/>
      <c r="S366" s="228" t="e">
        <f>IF(C366="",NA(),MATCH($B366&amp;$C366,'Smelter Reference List'!$J:$J,0))</f>
        <v>#N/A</v>
      </c>
      <c r="T366" s="229"/>
      <c r="U366" s="229">
        <f t="shared" ca="1" si="12"/>
        <v>0</v>
      </c>
      <c r="V366" s="229"/>
      <c r="W366" s="229"/>
      <c r="Y366" s="223" t="str">
        <f t="shared" si="13"/>
        <v/>
      </c>
    </row>
    <row r="367" spans="1:25" s="223" customFormat="1" ht="20.25">
      <c r="A367" s="291"/>
      <c r="B367" s="292" t="str">
        <f>IF(LEN(A367)=0,"",INDEX('Smelter Reference List'!$A:$A,MATCH($A367,'Smelter Reference List'!$E:$E,0)))</f>
        <v/>
      </c>
      <c r="C367" s="298" t="str">
        <f>IF(LEN(A367)=0,"",INDEX('Smelter Reference List'!$C:$C,MATCH($A367,'Smelter Reference List'!$E:$E,0)))</f>
        <v/>
      </c>
      <c r="D367" s="292" t="str">
        <f ca="1">IF(ISERROR($S367),"",OFFSET('Smelter Reference List'!$C$4,$S367-4,0)&amp;"")</f>
        <v/>
      </c>
      <c r="E367" s="292" t="str">
        <f ca="1">IF(ISERROR($S367),"",OFFSET('Smelter Reference List'!$D$4,$S367-4,0)&amp;"")</f>
        <v/>
      </c>
      <c r="F367" s="292" t="str">
        <f ca="1">IF(ISERROR($S367),"",OFFSET('Smelter Reference List'!$E$4,$S367-4,0))</f>
        <v/>
      </c>
      <c r="G367" s="292" t="str">
        <f ca="1">IF(C367=$U$4,"Enter smelter details", IF(ISERROR($S367),"",OFFSET('Smelter Reference List'!$F$4,$S367-4,0)))</f>
        <v/>
      </c>
      <c r="H367" s="293" t="str">
        <f ca="1">IF(ISERROR($S367),"",OFFSET('Smelter Reference List'!$G$4,$S367-4,0))</f>
        <v/>
      </c>
      <c r="I367" s="294" t="str">
        <f ca="1">IF(ISERROR($S367),"",OFFSET('Smelter Reference List'!$H$4,$S367-4,0))</f>
        <v/>
      </c>
      <c r="J367" s="294" t="str">
        <f ca="1">IF(ISERROR($S367),"",OFFSET('Smelter Reference List'!$I$4,$S367-4,0))</f>
        <v/>
      </c>
      <c r="K367" s="295"/>
      <c r="L367" s="295"/>
      <c r="M367" s="295"/>
      <c r="N367" s="295"/>
      <c r="O367" s="295"/>
      <c r="P367" s="295"/>
      <c r="Q367" s="296"/>
      <c r="R367" s="227"/>
      <c r="S367" s="228" t="e">
        <f>IF(C367="",NA(),MATCH($B367&amp;$C367,'Smelter Reference List'!$J:$J,0))</f>
        <v>#N/A</v>
      </c>
      <c r="T367" s="229"/>
      <c r="U367" s="229">
        <f t="shared" ca="1" si="12"/>
        <v>0</v>
      </c>
      <c r="V367" s="229"/>
      <c r="W367" s="229"/>
      <c r="Y367" s="223" t="str">
        <f t="shared" si="13"/>
        <v/>
      </c>
    </row>
    <row r="368" spans="1:25" s="223" customFormat="1" ht="20.25">
      <c r="A368" s="291"/>
      <c r="B368" s="292" t="str">
        <f>IF(LEN(A368)=0,"",INDEX('Smelter Reference List'!$A:$A,MATCH($A368,'Smelter Reference List'!$E:$E,0)))</f>
        <v/>
      </c>
      <c r="C368" s="298" t="str">
        <f>IF(LEN(A368)=0,"",INDEX('Smelter Reference List'!$C:$C,MATCH($A368,'Smelter Reference List'!$E:$E,0)))</f>
        <v/>
      </c>
      <c r="D368" s="292" t="str">
        <f ca="1">IF(ISERROR($S368),"",OFFSET('Smelter Reference List'!$C$4,$S368-4,0)&amp;"")</f>
        <v/>
      </c>
      <c r="E368" s="292" t="str">
        <f ca="1">IF(ISERROR($S368),"",OFFSET('Smelter Reference List'!$D$4,$S368-4,0)&amp;"")</f>
        <v/>
      </c>
      <c r="F368" s="292" t="str">
        <f ca="1">IF(ISERROR($S368),"",OFFSET('Smelter Reference List'!$E$4,$S368-4,0))</f>
        <v/>
      </c>
      <c r="G368" s="292" t="str">
        <f ca="1">IF(C368=$U$4,"Enter smelter details", IF(ISERROR($S368),"",OFFSET('Smelter Reference List'!$F$4,$S368-4,0)))</f>
        <v/>
      </c>
      <c r="H368" s="293" t="str">
        <f ca="1">IF(ISERROR($S368),"",OFFSET('Smelter Reference List'!$G$4,$S368-4,0))</f>
        <v/>
      </c>
      <c r="I368" s="294" t="str">
        <f ca="1">IF(ISERROR($S368),"",OFFSET('Smelter Reference List'!$H$4,$S368-4,0))</f>
        <v/>
      </c>
      <c r="J368" s="294" t="str">
        <f ca="1">IF(ISERROR($S368),"",OFFSET('Smelter Reference List'!$I$4,$S368-4,0))</f>
        <v/>
      </c>
      <c r="K368" s="295"/>
      <c r="L368" s="295"/>
      <c r="M368" s="295"/>
      <c r="N368" s="295"/>
      <c r="O368" s="295"/>
      <c r="P368" s="295"/>
      <c r="Q368" s="296"/>
      <c r="R368" s="227"/>
      <c r="S368" s="228" t="e">
        <f>IF(C368="",NA(),MATCH($B368&amp;$C368,'Smelter Reference List'!$J:$J,0))</f>
        <v>#N/A</v>
      </c>
      <c r="T368" s="229"/>
      <c r="U368" s="229">
        <f t="shared" ca="1" si="12"/>
        <v>0</v>
      </c>
      <c r="V368" s="229"/>
      <c r="W368" s="229"/>
      <c r="Y368" s="223" t="str">
        <f t="shared" si="13"/>
        <v/>
      </c>
    </row>
    <row r="369" spans="1:25" s="223" customFormat="1" ht="20.25">
      <c r="A369" s="291"/>
      <c r="B369" s="292" t="str">
        <f>IF(LEN(A369)=0,"",INDEX('Smelter Reference List'!$A:$A,MATCH($A369,'Smelter Reference List'!$E:$E,0)))</f>
        <v/>
      </c>
      <c r="C369" s="298" t="str">
        <f>IF(LEN(A369)=0,"",INDEX('Smelter Reference List'!$C:$C,MATCH($A369,'Smelter Reference List'!$E:$E,0)))</f>
        <v/>
      </c>
      <c r="D369" s="292" t="str">
        <f ca="1">IF(ISERROR($S369),"",OFFSET('Smelter Reference List'!$C$4,$S369-4,0)&amp;"")</f>
        <v/>
      </c>
      <c r="E369" s="292" t="str">
        <f ca="1">IF(ISERROR($S369),"",OFFSET('Smelter Reference List'!$D$4,$S369-4,0)&amp;"")</f>
        <v/>
      </c>
      <c r="F369" s="292" t="str">
        <f ca="1">IF(ISERROR($S369),"",OFFSET('Smelter Reference List'!$E$4,$S369-4,0))</f>
        <v/>
      </c>
      <c r="G369" s="292" t="str">
        <f ca="1">IF(C369=$U$4,"Enter smelter details", IF(ISERROR($S369),"",OFFSET('Smelter Reference List'!$F$4,$S369-4,0)))</f>
        <v/>
      </c>
      <c r="H369" s="293" t="str">
        <f ca="1">IF(ISERROR($S369),"",OFFSET('Smelter Reference List'!$G$4,$S369-4,0))</f>
        <v/>
      </c>
      <c r="I369" s="294" t="str">
        <f ca="1">IF(ISERROR($S369),"",OFFSET('Smelter Reference List'!$H$4,$S369-4,0))</f>
        <v/>
      </c>
      <c r="J369" s="294" t="str">
        <f ca="1">IF(ISERROR($S369),"",OFFSET('Smelter Reference List'!$I$4,$S369-4,0))</f>
        <v/>
      </c>
      <c r="K369" s="295"/>
      <c r="L369" s="295"/>
      <c r="M369" s="295"/>
      <c r="N369" s="295"/>
      <c r="O369" s="295"/>
      <c r="P369" s="295"/>
      <c r="Q369" s="296"/>
      <c r="R369" s="227"/>
      <c r="S369" s="228" t="e">
        <f>IF(C369="",NA(),MATCH($B369&amp;$C369,'Smelter Reference List'!$J:$J,0))</f>
        <v>#N/A</v>
      </c>
      <c r="T369" s="229"/>
      <c r="U369" s="229">
        <f t="shared" ca="1" si="12"/>
        <v>0</v>
      </c>
      <c r="V369" s="229"/>
      <c r="W369" s="229"/>
      <c r="Y369" s="223" t="str">
        <f t="shared" si="13"/>
        <v/>
      </c>
    </row>
    <row r="370" spans="1:25" s="223" customFormat="1" ht="20.25">
      <c r="A370" s="291"/>
      <c r="B370" s="292" t="str">
        <f>IF(LEN(A370)=0,"",INDEX('Smelter Reference List'!$A:$A,MATCH($A370,'Smelter Reference List'!$E:$E,0)))</f>
        <v/>
      </c>
      <c r="C370" s="298" t="str">
        <f>IF(LEN(A370)=0,"",INDEX('Smelter Reference List'!$C:$C,MATCH($A370,'Smelter Reference List'!$E:$E,0)))</f>
        <v/>
      </c>
      <c r="D370" s="292" t="str">
        <f ca="1">IF(ISERROR($S370),"",OFFSET('Smelter Reference List'!$C$4,$S370-4,0)&amp;"")</f>
        <v/>
      </c>
      <c r="E370" s="292" t="str">
        <f ca="1">IF(ISERROR($S370),"",OFFSET('Smelter Reference List'!$D$4,$S370-4,0)&amp;"")</f>
        <v/>
      </c>
      <c r="F370" s="292" t="str">
        <f ca="1">IF(ISERROR($S370),"",OFFSET('Smelter Reference List'!$E$4,$S370-4,0))</f>
        <v/>
      </c>
      <c r="G370" s="292" t="str">
        <f ca="1">IF(C370=$U$4,"Enter smelter details", IF(ISERROR($S370),"",OFFSET('Smelter Reference List'!$F$4,$S370-4,0)))</f>
        <v/>
      </c>
      <c r="H370" s="293" t="str">
        <f ca="1">IF(ISERROR($S370),"",OFFSET('Smelter Reference List'!$G$4,$S370-4,0))</f>
        <v/>
      </c>
      <c r="I370" s="294" t="str">
        <f ca="1">IF(ISERROR($S370),"",OFFSET('Smelter Reference List'!$H$4,$S370-4,0))</f>
        <v/>
      </c>
      <c r="J370" s="294" t="str">
        <f ca="1">IF(ISERROR($S370),"",OFFSET('Smelter Reference List'!$I$4,$S370-4,0))</f>
        <v/>
      </c>
      <c r="K370" s="295"/>
      <c r="L370" s="295"/>
      <c r="M370" s="295"/>
      <c r="N370" s="295"/>
      <c r="O370" s="295"/>
      <c r="P370" s="295"/>
      <c r="Q370" s="296"/>
      <c r="R370" s="227"/>
      <c r="S370" s="228" t="e">
        <f>IF(C370="",NA(),MATCH($B370&amp;$C370,'Smelter Reference List'!$J:$J,0))</f>
        <v>#N/A</v>
      </c>
      <c r="T370" s="229"/>
      <c r="U370" s="229">
        <f t="shared" ca="1" si="12"/>
        <v>0</v>
      </c>
      <c r="V370" s="229"/>
      <c r="W370" s="229"/>
      <c r="Y370" s="223" t="str">
        <f t="shared" si="13"/>
        <v/>
      </c>
    </row>
    <row r="371" spans="1:25" s="223" customFormat="1" ht="20.25">
      <c r="A371" s="291"/>
      <c r="B371" s="292" t="str">
        <f>IF(LEN(A371)=0,"",INDEX('Smelter Reference List'!$A:$A,MATCH($A371,'Smelter Reference List'!$E:$E,0)))</f>
        <v/>
      </c>
      <c r="C371" s="298" t="str">
        <f>IF(LEN(A371)=0,"",INDEX('Smelter Reference List'!$C:$C,MATCH($A371,'Smelter Reference List'!$E:$E,0)))</f>
        <v/>
      </c>
      <c r="D371" s="292" t="str">
        <f ca="1">IF(ISERROR($S371),"",OFFSET('Smelter Reference List'!$C$4,$S371-4,0)&amp;"")</f>
        <v/>
      </c>
      <c r="E371" s="292" t="str">
        <f ca="1">IF(ISERROR($S371),"",OFFSET('Smelter Reference List'!$D$4,$S371-4,0)&amp;"")</f>
        <v/>
      </c>
      <c r="F371" s="292" t="str">
        <f ca="1">IF(ISERROR($S371),"",OFFSET('Smelter Reference List'!$E$4,$S371-4,0))</f>
        <v/>
      </c>
      <c r="G371" s="292" t="str">
        <f ca="1">IF(C371=$U$4,"Enter smelter details", IF(ISERROR($S371),"",OFFSET('Smelter Reference List'!$F$4,$S371-4,0)))</f>
        <v/>
      </c>
      <c r="H371" s="293" t="str">
        <f ca="1">IF(ISERROR($S371),"",OFFSET('Smelter Reference List'!$G$4,$S371-4,0))</f>
        <v/>
      </c>
      <c r="I371" s="294" t="str">
        <f ca="1">IF(ISERROR($S371),"",OFFSET('Smelter Reference List'!$H$4,$S371-4,0))</f>
        <v/>
      </c>
      <c r="J371" s="294" t="str">
        <f ca="1">IF(ISERROR($S371),"",OFFSET('Smelter Reference List'!$I$4,$S371-4,0))</f>
        <v/>
      </c>
      <c r="K371" s="295"/>
      <c r="L371" s="295"/>
      <c r="M371" s="295"/>
      <c r="N371" s="295"/>
      <c r="O371" s="295"/>
      <c r="P371" s="295"/>
      <c r="Q371" s="296"/>
      <c r="R371" s="227"/>
      <c r="S371" s="228" t="e">
        <f>IF(C371="",NA(),MATCH($B371&amp;$C371,'Smelter Reference List'!$J:$J,0))</f>
        <v>#N/A</v>
      </c>
      <c r="T371" s="229"/>
      <c r="U371" s="229">
        <f t="shared" ca="1" si="12"/>
        <v>0</v>
      </c>
      <c r="V371" s="229"/>
      <c r="W371" s="229"/>
      <c r="Y371" s="223" t="str">
        <f t="shared" si="13"/>
        <v/>
      </c>
    </row>
    <row r="372" spans="1:25" s="223" customFormat="1" ht="20.25">
      <c r="A372" s="291"/>
      <c r="B372" s="292" t="str">
        <f>IF(LEN(A372)=0,"",INDEX('Smelter Reference List'!$A:$A,MATCH($A372,'Smelter Reference List'!$E:$E,0)))</f>
        <v/>
      </c>
      <c r="C372" s="298" t="str">
        <f>IF(LEN(A372)=0,"",INDEX('Smelter Reference List'!$C:$C,MATCH($A372,'Smelter Reference List'!$E:$E,0)))</f>
        <v/>
      </c>
      <c r="D372" s="292" t="str">
        <f ca="1">IF(ISERROR($S372),"",OFFSET('Smelter Reference List'!$C$4,$S372-4,0)&amp;"")</f>
        <v/>
      </c>
      <c r="E372" s="292" t="str">
        <f ca="1">IF(ISERROR($S372),"",OFFSET('Smelter Reference List'!$D$4,$S372-4,0)&amp;"")</f>
        <v/>
      </c>
      <c r="F372" s="292" t="str">
        <f ca="1">IF(ISERROR($S372),"",OFFSET('Smelter Reference List'!$E$4,$S372-4,0))</f>
        <v/>
      </c>
      <c r="G372" s="292" t="str">
        <f ca="1">IF(C372=$U$4,"Enter smelter details", IF(ISERROR($S372),"",OFFSET('Smelter Reference List'!$F$4,$S372-4,0)))</f>
        <v/>
      </c>
      <c r="H372" s="293" t="str">
        <f ca="1">IF(ISERROR($S372),"",OFFSET('Smelter Reference List'!$G$4,$S372-4,0))</f>
        <v/>
      </c>
      <c r="I372" s="294" t="str">
        <f ca="1">IF(ISERROR($S372),"",OFFSET('Smelter Reference List'!$H$4,$S372-4,0))</f>
        <v/>
      </c>
      <c r="J372" s="294" t="str">
        <f ca="1">IF(ISERROR($S372),"",OFFSET('Smelter Reference List'!$I$4,$S372-4,0))</f>
        <v/>
      </c>
      <c r="K372" s="295"/>
      <c r="L372" s="295"/>
      <c r="M372" s="295"/>
      <c r="N372" s="295"/>
      <c r="O372" s="295"/>
      <c r="P372" s="295"/>
      <c r="Q372" s="296"/>
      <c r="R372" s="227"/>
      <c r="S372" s="228" t="e">
        <f>IF(C372="",NA(),MATCH($B372&amp;$C372,'Smelter Reference List'!$J:$J,0))</f>
        <v>#N/A</v>
      </c>
      <c r="T372" s="229"/>
      <c r="U372" s="229">
        <f t="shared" ca="1" si="12"/>
        <v>0</v>
      </c>
      <c r="V372" s="229"/>
      <c r="W372" s="229"/>
      <c r="Y372" s="223" t="str">
        <f t="shared" si="13"/>
        <v/>
      </c>
    </row>
    <row r="373" spans="1:25" s="223" customFormat="1" ht="20.25">
      <c r="A373" s="291"/>
      <c r="B373" s="292" t="str">
        <f>IF(LEN(A373)=0,"",INDEX('Smelter Reference List'!$A:$A,MATCH($A373,'Smelter Reference List'!$E:$E,0)))</f>
        <v/>
      </c>
      <c r="C373" s="298" t="str">
        <f>IF(LEN(A373)=0,"",INDEX('Smelter Reference List'!$C:$C,MATCH($A373,'Smelter Reference List'!$E:$E,0)))</f>
        <v/>
      </c>
      <c r="D373" s="292" t="str">
        <f ca="1">IF(ISERROR($S373),"",OFFSET('Smelter Reference List'!$C$4,$S373-4,0)&amp;"")</f>
        <v/>
      </c>
      <c r="E373" s="292" t="str">
        <f ca="1">IF(ISERROR($S373),"",OFFSET('Smelter Reference List'!$D$4,$S373-4,0)&amp;"")</f>
        <v/>
      </c>
      <c r="F373" s="292" t="str">
        <f ca="1">IF(ISERROR($S373),"",OFFSET('Smelter Reference List'!$E$4,$S373-4,0))</f>
        <v/>
      </c>
      <c r="G373" s="292" t="str">
        <f ca="1">IF(C373=$U$4,"Enter smelter details", IF(ISERROR($S373),"",OFFSET('Smelter Reference List'!$F$4,$S373-4,0)))</f>
        <v/>
      </c>
      <c r="H373" s="293" t="str">
        <f ca="1">IF(ISERROR($S373),"",OFFSET('Smelter Reference List'!$G$4,$S373-4,0))</f>
        <v/>
      </c>
      <c r="I373" s="294" t="str">
        <f ca="1">IF(ISERROR($S373),"",OFFSET('Smelter Reference List'!$H$4,$S373-4,0))</f>
        <v/>
      </c>
      <c r="J373" s="294" t="str">
        <f ca="1">IF(ISERROR($S373),"",OFFSET('Smelter Reference List'!$I$4,$S373-4,0))</f>
        <v/>
      </c>
      <c r="K373" s="295"/>
      <c r="L373" s="295"/>
      <c r="M373" s="295"/>
      <c r="N373" s="295"/>
      <c r="O373" s="295"/>
      <c r="P373" s="295"/>
      <c r="Q373" s="296"/>
      <c r="R373" s="227"/>
      <c r="S373" s="228" t="e">
        <f>IF(C373="",NA(),MATCH($B373&amp;$C373,'Smelter Reference List'!$J:$J,0))</f>
        <v>#N/A</v>
      </c>
      <c r="T373" s="229"/>
      <c r="U373" s="229">
        <f t="shared" ca="1" si="12"/>
        <v>0</v>
      </c>
      <c r="V373" s="229"/>
      <c r="W373" s="229"/>
      <c r="Y373" s="223" t="str">
        <f t="shared" si="13"/>
        <v/>
      </c>
    </row>
    <row r="374" spans="1:25" s="223" customFormat="1" ht="20.25">
      <c r="A374" s="291"/>
      <c r="B374" s="292" t="str">
        <f>IF(LEN(A374)=0,"",INDEX('Smelter Reference List'!$A:$A,MATCH($A374,'Smelter Reference List'!$E:$E,0)))</f>
        <v/>
      </c>
      <c r="C374" s="298" t="str">
        <f>IF(LEN(A374)=0,"",INDEX('Smelter Reference List'!$C:$C,MATCH($A374,'Smelter Reference List'!$E:$E,0)))</f>
        <v/>
      </c>
      <c r="D374" s="292" t="str">
        <f ca="1">IF(ISERROR($S374),"",OFFSET('Smelter Reference List'!$C$4,$S374-4,0)&amp;"")</f>
        <v/>
      </c>
      <c r="E374" s="292" t="str">
        <f ca="1">IF(ISERROR($S374),"",OFFSET('Smelter Reference List'!$D$4,$S374-4,0)&amp;"")</f>
        <v/>
      </c>
      <c r="F374" s="292" t="str">
        <f ca="1">IF(ISERROR($S374),"",OFFSET('Smelter Reference List'!$E$4,$S374-4,0))</f>
        <v/>
      </c>
      <c r="G374" s="292" t="str">
        <f ca="1">IF(C374=$U$4,"Enter smelter details", IF(ISERROR($S374),"",OFFSET('Smelter Reference List'!$F$4,$S374-4,0)))</f>
        <v/>
      </c>
      <c r="H374" s="293" t="str">
        <f ca="1">IF(ISERROR($S374),"",OFFSET('Smelter Reference List'!$G$4,$S374-4,0))</f>
        <v/>
      </c>
      <c r="I374" s="294" t="str">
        <f ca="1">IF(ISERROR($S374),"",OFFSET('Smelter Reference List'!$H$4,$S374-4,0))</f>
        <v/>
      </c>
      <c r="J374" s="294" t="str">
        <f ca="1">IF(ISERROR($S374),"",OFFSET('Smelter Reference List'!$I$4,$S374-4,0))</f>
        <v/>
      </c>
      <c r="K374" s="295"/>
      <c r="L374" s="295"/>
      <c r="M374" s="295"/>
      <c r="N374" s="295"/>
      <c r="O374" s="295"/>
      <c r="P374" s="295"/>
      <c r="Q374" s="296"/>
      <c r="R374" s="227"/>
      <c r="S374" s="228" t="e">
        <f>IF(C374="",NA(),MATCH($B374&amp;$C374,'Smelter Reference List'!$J:$J,0))</f>
        <v>#N/A</v>
      </c>
      <c r="T374" s="229"/>
      <c r="U374" s="229">
        <f t="shared" ca="1" si="12"/>
        <v>0</v>
      </c>
      <c r="V374" s="229"/>
      <c r="W374" s="229"/>
      <c r="Y374" s="223" t="str">
        <f t="shared" si="13"/>
        <v/>
      </c>
    </row>
    <row r="375" spans="1:25" s="223" customFormat="1" ht="20.25">
      <c r="A375" s="291"/>
      <c r="B375" s="292" t="str">
        <f>IF(LEN(A375)=0,"",INDEX('Smelter Reference List'!$A:$A,MATCH($A375,'Smelter Reference List'!$E:$E,0)))</f>
        <v/>
      </c>
      <c r="C375" s="298" t="str">
        <f>IF(LEN(A375)=0,"",INDEX('Smelter Reference List'!$C:$C,MATCH($A375,'Smelter Reference List'!$E:$E,0)))</f>
        <v/>
      </c>
      <c r="D375" s="292" t="str">
        <f ca="1">IF(ISERROR($S375),"",OFFSET('Smelter Reference List'!$C$4,$S375-4,0)&amp;"")</f>
        <v/>
      </c>
      <c r="E375" s="292" t="str">
        <f ca="1">IF(ISERROR($S375),"",OFFSET('Smelter Reference List'!$D$4,$S375-4,0)&amp;"")</f>
        <v/>
      </c>
      <c r="F375" s="292" t="str">
        <f ca="1">IF(ISERROR($S375),"",OFFSET('Smelter Reference List'!$E$4,$S375-4,0))</f>
        <v/>
      </c>
      <c r="G375" s="292" t="str">
        <f ca="1">IF(C375=$U$4,"Enter smelter details", IF(ISERROR($S375),"",OFFSET('Smelter Reference List'!$F$4,$S375-4,0)))</f>
        <v/>
      </c>
      <c r="H375" s="293" t="str">
        <f ca="1">IF(ISERROR($S375),"",OFFSET('Smelter Reference List'!$G$4,$S375-4,0))</f>
        <v/>
      </c>
      <c r="I375" s="294" t="str">
        <f ca="1">IF(ISERROR($S375),"",OFFSET('Smelter Reference List'!$H$4,$S375-4,0))</f>
        <v/>
      </c>
      <c r="J375" s="294" t="str">
        <f ca="1">IF(ISERROR($S375),"",OFFSET('Smelter Reference List'!$I$4,$S375-4,0))</f>
        <v/>
      </c>
      <c r="K375" s="295"/>
      <c r="L375" s="295"/>
      <c r="M375" s="295"/>
      <c r="N375" s="295"/>
      <c r="O375" s="295"/>
      <c r="P375" s="295"/>
      <c r="Q375" s="296"/>
      <c r="R375" s="227"/>
      <c r="S375" s="228" t="e">
        <f>IF(C375="",NA(),MATCH($B375&amp;$C375,'Smelter Reference List'!$J:$J,0))</f>
        <v>#N/A</v>
      </c>
      <c r="T375" s="229"/>
      <c r="U375" s="229">
        <f t="shared" ca="1" si="12"/>
        <v>0</v>
      </c>
      <c r="V375" s="229"/>
      <c r="W375" s="229"/>
      <c r="Y375" s="223" t="str">
        <f t="shared" si="13"/>
        <v/>
      </c>
    </row>
    <row r="376" spans="1:25" s="223" customFormat="1" ht="20.25">
      <c r="A376" s="291"/>
      <c r="B376" s="292" t="str">
        <f>IF(LEN(A376)=0,"",INDEX('Smelter Reference List'!$A:$A,MATCH($A376,'Smelter Reference List'!$E:$E,0)))</f>
        <v/>
      </c>
      <c r="C376" s="298" t="str">
        <f>IF(LEN(A376)=0,"",INDEX('Smelter Reference List'!$C:$C,MATCH($A376,'Smelter Reference List'!$E:$E,0)))</f>
        <v/>
      </c>
      <c r="D376" s="292" t="str">
        <f ca="1">IF(ISERROR($S376),"",OFFSET('Smelter Reference List'!$C$4,$S376-4,0)&amp;"")</f>
        <v/>
      </c>
      <c r="E376" s="292" t="str">
        <f ca="1">IF(ISERROR($S376),"",OFFSET('Smelter Reference List'!$D$4,$S376-4,0)&amp;"")</f>
        <v/>
      </c>
      <c r="F376" s="292" t="str">
        <f ca="1">IF(ISERROR($S376),"",OFFSET('Smelter Reference List'!$E$4,$S376-4,0))</f>
        <v/>
      </c>
      <c r="G376" s="292" t="str">
        <f ca="1">IF(C376=$U$4,"Enter smelter details", IF(ISERROR($S376),"",OFFSET('Smelter Reference List'!$F$4,$S376-4,0)))</f>
        <v/>
      </c>
      <c r="H376" s="293" t="str">
        <f ca="1">IF(ISERROR($S376),"",OFFSET('Smelter Reference List'!$G$4,$S376-4,0))</f>
        <v/>
      </c>
      <c r="I376" s="294" t="str">
        <f ca="1">IF(ISERROR($S376),"",OFFSET('Smelter Reference List'!$H$4,$S376-4,0))</f>
        <v/>
      </c>
      <c r="J376" s="294" t="str">
        <f ca="1">IF(ISERROR($S376),"",OFFSET('Smelter Reference List'!$I$4,$S376-4,0))</f>
        <v/>
      </c>
      <c r="K376" s="295"/>
      <c r="L376" s="295"/>
      <c r="M376" s="295"/>
      <c r="N376" s="295"/>
      <c r="O376" s="295"/>
      <c r="P376" s="295"/>
      <c r="Q376" s="296"/>
      <c r="R376" s="227"/>
      <c r="S376" s="228" t="e">
        <f>IF(C376="",NA(),MATCH($B376&amp;$C376,'Smelter Reference List'!$J:$J,0))</f>
        <v>#N/A</v>
      </c>
      <c r="T376" s="229"/>
      <c r="U376" s="229">
        <f t="shared" ca="1" si="12"/>
        <v>0</v>
      </c>
      <c r="V376" s="229"/>
      <c r="W376" s="229"/>
      <c r="Y376" s="223" t="str">
        <f t="shared" si="13"/>
        <v/>
      </c>
    </row>
    <row r="377" spans="1:25" s="223" customFormat="1" ht="20.25">
      <c r="A377" s="291"/>
      <c r="B377" s="292" t="str">
        <f>IF(LEN(A377)=0,"",INDEX('Smelter Reference List'!$A:$A,MATCH($A377,'Smelter Reference List'!$E:$E,0)))</f>
        <v/>
      </c>
      <c r="C377" s="298" t="str">
        <f>IF(LEN(A377)=0,"",INDEX('Smelter Reference List'!$C:$C,MATCH($A377,'Smelter Reference List'!$E:$E,0)))</f>
        <v/>
      </c>
      <c r="D377" s="292" t="str">
        <f ca="1">IF(ISERROR($S377),"",OFFSET('Smelter Reference List'!$C$4,$S377-4,0)&amp;"")</f>
        <v/>
      </c>
      <c r="E377" s="292" t="str">
        <f ca="1">IF(ISERROR($S377),"",OFFSET('Smelter Reference List'!$D$4,$S377-4,0)&amp;"")</f>
        <v/>
      </c>
      <c r="F377" s="292" t="str">
        <f ca="1">IF(ISERROR($S377),"",OFFSET('Smelter Reference List'!$E$4,$S377-4,0))</f>
        <v/>
      </c>
      <c r="G377" s="292" t="str">
        <f ca="1">IF(C377=$U$4,"Enter smelter details", IF(ISERROR($S377),"",OFFSET('Smelter Reference List'!$F$4,$S377-4,0)))</f>
        <v/>
      </c>
      <c r="H377" s="293" t="str">
        <f ca="1">IF(ISERROR($S377),"",OFFSET('Smelter Reference List'!$G$4,$S377-4,0))</f>
        <v/>
      </c>
      <c r="I377" s="294" t="str">
        <f ca="1">IF(ISERROR($S377),"",OFFSET('Smelter Reference List'!$H$4,$S377-4,0))</f>
        <v/>
      </c>
      <c r="J377" s="294" t="str">
        <f ca="1">IF(ISERROR($S377),"",OFFSET('Smelter Reference List'!$I$4,$S377-4,0))</f>
        <v/>
      </c>
      <c r="K377" s="295"/>
      <c r="L377" s="295"/>
      <c r="M377" s="295"/>
      <c r="N377" s="295"/>
      <c r="O377" s="295"/>
      <c r="P377" s="295"/>
      <c r="Q377" s="296"/>
      <c r="R377" s="227"/>
      <c r="S377" s="228" t="e">
        <f>IF(C377="",NA(),MATCH($B377&amp;$C377,'Smelter Reference List'!$J:$J,0))</f>
        <v>#N/A</v>
      </c>
      <c r="T377" s="229"/>
      <c r="U377" s="229">
        <f t="shared" ca="1" si="12"/>
        <v>0</v>
      </c>
      <c r="V377" s="229"/>
      <c r="W377" s="229"/>
      <c r="Y377" s="223" t="str">
        <f t="shared" si="13"/>
        <v/>
      </c>
    </row>
    <row r="378" spans="1:25" s="223" customFormat="1" ht="20.25">
      <c r="A378" s="291"/>
      <c r="B378" s="292" t="str">
        <f>IF(LEN(A378)=0,"",INDEX('Smelter Reference List'!$A:$A,MATCH($A378,'Smelter Reference List'!$E:$E,0)))</f>
        <v/>
      </c>
      <c r="C378" s="298" t="str">
        <f>IF(LEN(A378)=0,"",INDEX('Smelter Reference List'!$C:$C,MATCH($A378,'Smelter Reference List'!$E:$E,0)))</f>
        <v/>
      </c>
      <c r="D378" s="292" t="str">
        <f ca="1">IF(ISERROR($S378),"",OFFSET('Smelter Reference List'!$C$4,$S378-4,0)&amp;"")</f>
        <v/>
      </c>
      <c r="E378" s="292" t="str">
        <f ca="1">IF(ISERROR($S378),"",OFFSET('Smelter Reference List'!$D$4,$S378-4,0)&amp;"")</f>
        <v/>
      </c>
      <c r="F378" s="292" t="str">
        <f ca="1">IF(ISERROR($S378),"",OFFSET('Smelter Reference List'!$E$4,$S378-4,0))</f>
        <v/>
      </c>
      <c r="G378" s="292" t="str">
        <f ca="1">IF(C378=$U$4,"Enter smelter details", IF(ISERROR($S378),"",OFFSET('Smelter Reference List'!$F$4,$S378-4,0)))</f>
        <v/>
      </c>
      <c r="H378" s="293" t="str">
        <f ca="1">IF(ISERROR($S378),"",OFFSET('Smelter Reference List'!$G$4,$S378-4,0))</f>
        <v/>
      </c>
      <c r="I378" s="294" t="str">
        <f ca="1">IF(ISERROR($S378),"",OFFSET('Smelter Reference List'!$H$4,$S378-4,0))</f>
        <v/>
      </c>
      <c r="J378" s="294" t="str">
        <f ca="1">IF(ISERROR($S378),"",OFFSET('Smelter Reference List'!$I$4,$S378-4,0))</f>
        <v/>
      </c>
      <c r="K378" s="295"/>
      <c r="L378" s="295"/>
      <c r="M378" s="295"/>
      <c r="N378" s="295"/>
      <c r="O378" s="295"/>
      <c r="P378" s="295"/>
      <c r="Q378" s="296"/>
      <c r="R378" s="227"/>
      <c r="S378" s="228" t="e">
        <f>IF(C378="",NA(),MATCH($B378&amp;$C378,'Smelter Reference List'!$J:$J,0))</f>
        <v>#N/A</v>
      </c>
      <c r="T378" s="229"/>
      <c r="U378" s="229">
        <f t="shared" ca="1" si="12"/>
        <v>0</v>
      </c>
      <c r="V378" s="229"/>
      <c r="W378" s="229"/>
      <c r="Y378" s="223" t="str">
        <f t="shared" si="13"/>
        <v/>
      </c>
    </row>
    <row r="379" spans="1:25" s="223" customFormat="1" ht="20.25">
      <c r="A379" s="291"/>
      <c r="B379" s="292" t="str">
        <f>IF(LEN(A379)=0,"",INDEX('Smelter Reference List'!$A:$A,MATCH($A379,'Smelter Reference List'!$E:$E,0)))</f>
        <v/>
      </c>
      <c r="C379" s="298" t="str">
        <f>IF(LEN(A379)=0,"",INDEX('Smelter Reference List'!$C:$C,MATCH($A379,'Smelter Reference List'!$E:$E,0)))</f>
        <v/>
      </c>
      <c r="D379" s="292" t="str">
        <f ca="1">IF(ISERROR($S379),"",OFFSET('Smelter Reference List'!$C$4,$S379-4,0)&amp;"")</f>
        <v/>
      </c>
      <c r="E379" s="292" t="str">
        <f ca="1">IF(ISERROR($S379),"",OFFSET('Smelter Reference List'!$D$4,$S379-4,0)&amp;"")</f>
        <v/>
      </c>
      <c r="F379" s="292" t="str">
        <f ca="1">IF(ISERROR($S379),"",OFFSET('Smelter Reference List'!$E$4,$S379-4,0))</f>
        <v/>
      </c>
      <c r="G379" s="292" t="str">
        <f ca="1">IF(C379=$U$4,"Enter smelter details", IF(ISERROR($S379),"",OFFSET('Smelter Reference List'!$F$4,$S379-4,0)))</f>
        <v/>
      </c>
      <c r="H379" s="293" t="str">
        <f ca="1">IF(ISERROR($S379),"",OFFSET('Smelter Reference List'!$G$4,$S379-4,0))</f>
        <v/>
      </c>
      <c r="I379" s="294" t="str">
        <f ca="1">IF(ISERROR($S379),"",OFFSET('Smelter Reference List'!$H$4,$S379-4,0))</f>
        <v/>
      </c>
      <c r="J379" s="294" t="str">
        <f ca="1">IF(ISERROR($S379),"",OFFSET('Smelter Reference List'!$I$4,$S379-4,0))</f>
        <v/>
      </c>
      <c r="K379" s="295"/>
      <c r="L379" s="295"/>
      <c r="M379" s="295"/>
      <c r="N379" s="295"/>
      <c r="O379" s="295"/>
      <c r="P379" s="295"/>
      <c r="Q379" s="296"/>
      <c r="R379" s="227"/>
      <c r="S379" s="228" t="e">
        <f>IF(C379="",NA(),MATCH($B379&amp;$C379,'Smelter Reference List'!$J:$J,0))</f>
        <v>#N/A</v>
      </c>
      <c r="T379" s="229"/>
      <c r="U379" s="229">
        <f t="shared" ca="1" si="12"/>
        <v>0</v>
      </c>
      <c r="V379" s="229"/>
      <c r="W379" s="229"/>
      <c r="Y379" s="223" t="str">
        <f t="shared" si="13"/>
        <v/>
      </c>
    </row>
    <row r="380" spans="1:25" s="223" customFormat="1" ht="20.25">
      <c r="A380" s="291"/>
      <c r="B380" s="292" t="str">
        <f>IF(LEN(A380)=0,"",INDEX('Smelter Reference List'!$A:$A,MATCH($A380,'Smelter Reference List'!$E:$E,0)))</f>
        <v/>
      </c>
      <c r="C380" s="298" t="str">
        <f>IF(LEN(A380)=0,"",INDEX('Smelter Reference List'!$C:$C,MATCH($A380,'Smelter Reference List'!$E:$E,0)))</f>
        <v/>
      </c>
      <c r="D380" s="292" t="str">
        <f ca="1">IF(ISERROR($S380),"",OFFSET('Smelter Reference List'!$C$4,$S380-4,0)&amp;"")</f>
        <v/>
      </c>
      <c r="E380" s="292" t="str">
        <f ca="1">IF(ISERROR($S380),"",OFFSET('Smelter Reference List'!$D$4,$S380-4,0)&amp;"")</f>
        <v/>
      </c>
      <c r="F380" s="292" t="str">
        <f ca="1">IF(ISERROR($S380),"",OFFSET('Smelter Reference List'!$E$4,$S380-4,0))</f>
        <v/>
      </c>
      <c r="G380" s="292" t="str">
        <f ca="1">IF(C380=$U$4,"Enter smelter details", IF(ISERROR($S380),"",OFFSET('Smelter Reference List'!$F$4,$S380-4,0)))</f>
        <v/>
      </c>
      <c r="H380" s="293" t="str">
        <f ca="1">IF(ISERROR($S380),"",OFFSET('Smelter Reference List'!$G$4,$S380-4,0))</f>
        <v/>
      </c>
      <c r="I380" s="294" t="str">
        <f ca="1">IF(ISERROR($S380),"",OFFSET('Smelter Reference List'!$H$4,$S380-4,0))</f>
        <v/>
      </c>
      <c r="J380" s="294" t="str">
        <f ca="1">IF(ISERROR($S380),"",OFFSET('Smelter Reference List'!$I$4,$S380-4,0))</f>
        <v/>
      </c>
      <c r="K380" s="295"/>
      <c r="L380" s="295"/>
      <c r="M380" s="295"/>
      <c r="N380" s="295"/>
      <c r="O380" s="295"/>
      <c r="P380" s="295"/>
      <c r="Q380" s="296"/>
      <c r="R380" s="227"/>
      <c r="S380" s="228" t="e">
        <f>IF(C380="",NA(),MATCH($B380&amp;$C380,'Smelter Reference List'!$J:$J,0))</f>
        <v>#N/A</v>
      </c>
      <c r="T380" s="229"/>
      <c r="U380" s="229">
        <f t="shared" ca="1" si="12"/>
        <v>0</v>
      </c>
      <c r="V380" s="229"/>
      <c r="W380" s="229"/>
      <c r="Y380" s="223" t="str">
        <f t="shared" si="13"/>
        <v/>
      </c>
    </row>
    <row r="381" spans="1:25" s="223" customFormat="1" ht="20.25">
      <c r="A381" s="291"/>
      <c r="B381" s="292" t="str">
        <f>IF(LEN(A381)=0,"",INDEX('Smelter Reference List'!$A:$A,MATCH($A381,'Smelter Reference List'!$E:$E,0)))</f>
        <v/>
      </c>
      <c r="C381" s="298" t="str">
        <f>IF(LEN(A381)=0,"",INDEX('Smelter Reference List'!$C:$C,MATCH($A381,'Smelter Reference List'!$E:$E,0)))</f>
        <v/>
      </c>
      <c r="D381" s="292" t="str">
        <f ca="1">IF(ISERROR($S381),"",OFFSET('Smelter Reference List'!$C$4,$S381-4,0)&amp;"")</f>
        <v/>
      </c>
      <c r="E381" s="292" t="str">
        <f ca="1">IF(ISERROR($S381),"",OFFSET('Smelter Reference List'!$D$4,$S381-4,0)&amp;"")</f>
        <v/>
      </c>
      <c r="F381" s="292" t="str">
        <f ca="1">IF(ISERROR($S381),"",OFFSET('Smelter Reference List'!$E$4,$S381-4,0))</f>
        <v/>
      </c>
      <c r="G381" s="292" t="str">
        <f ca="1">IF(C381=$U$4,"Enter smelter details", IF(ISERROR($S381),"",OFFSET('Smelter Reference List'!$F$4,$S381-4,0)))</f>
        <v/>
      </c>
      <c r="H381" s="293" t="str">
        <f ca="1">IF(ISERROR($S381),"",OFFSET('Smelter Reference List'!$G$4,$S381-4,0))</f>
        <v/>
      </c>
      <c r="I381" s="294" t="str">
        <f ca="1">IF(ISERROR($S381),"",OFFSET('Smelter Reference List'!$H$4,$S381-4,0))</f>
        <v/>
      </c>
      <c r="J381" s="294" t="str">
        <f ca="1">IF(ISERROR($S381),"",OFFSET('Smelter Reference List'!$I$4,$S381-4,0))</f>
        <v/>
      </c>
      <c r="K381" s="295"/>
      <c r="L381" s="295"/>
      <c r="M381" s="295"/>
      <c r="N381" s="295"/>
      <c r="O381" s="295"/>
      <c r="P381" s="295"/>
      <c r="Q381" s="296"/>
      <c r="R381" s="227"/>
      <c r="S381" s="228" t="e">
        <f>IF(C381="",NA(),MATCH($B381&amp;$C381,'Smelter Reference List'!$J:$J,0))</f>
        <v>#N/A</v>
      </c>
      <c r="T381" s="229"/>
      <c r="U381" s="229">
        <f t="shared" ca="1" si="12"/>
        <v>0</v>
      </c>
      <c r="V381" s="229"/>
      <c r="W381" s="229"/>
      <c r="Y381" s="223" t="str">
        <f t="shared" si="13"/>
        <v/>
      </c>
    </row>
    <row r="382" spans="1:25" s="223" customFormat="1" ht="20.25">
      <c r="A382" s="291"/>
      <c r="B382" s="292" t="str">
        <f>IF(LEN(A382)=0,"",INDEX('Smelter Reference List'!$A:$A,MATCH($A382,'Smelter Reference List'!$E:$E,0)))</f>
        <v/>
      </c>
      <c r="C382" s="298" t="str">
        <f>IF(LEN(A382)=0,"",INDEX('Smelter Reference List'!$C:$C,MATCH($A382,'Smelter Reference List'!$E:$E,0)))</f>
        <v/>
      </c>
      <c r="D382" s="292" t="str">
        <f ca="1">IF(ISERROR($S382),"",OFFSET('Smelter Reference List'!$C$4,$S382-4,0)&amp;"")</f>
        <v/>
      </c>
      <c r="E382" s="292" t="str">
        <f ca="1">IF(ISERROR($S382),"",OFFSET('Smelter Reference List'!$D$4,$S382-4,0)&amp;"")</f>
        <v/>
      </c>
      <c r="F382" s="292" t="str">
        <f ca="1">IF(ISERROR($S382),"",OFFSET('Smelter Reference List'!$E$4,$S382-4,0))</f>
        <v/>
      </c>
      <c r="G382" s="292" t="str">
        <f ca="1">IF(C382=$U$4,"Enter smelter details", IF(ISERROR($S382),"",OFFSET('Smelter Reference List'!$F$4,$S382-4,0)))</f>
        <v/>
      </c>
      <c r="H382" s="293" t="str">
        <f ca="1">IF(ISERROR($S382),"",OFFSET('Smelter Reference List'!$G$4,$S382-4,0))</f>
        <v/>
      </c>
      <c r="I382" s="294" t="str">
        <f ca="1">IF(ISERROR($S382),"",OFFSET('Smelter Reference List'!$H$4,$S382-4,0))</f>
        <v/>
      </c>
      <c r="J382" s="294" t="str">
        <f ca="1">IF(ISERROR($S382),"",OFFSET('Smelter Reference List'!$I$4,$S382-4,0))</f>
        <v/>
      </c>
      <c r="K382" s="295"/>
      <c r="L382" s="295"/>
      <c r="M382" s="295"/>
      <c r="N382" s="295"/>
      <c r="O382" s="295"/>
      <c r="P382" s="295"/>
      <c r="Q382" s="296"/>
      <c r="R382" s="227"/>
      <c r="S382" s="228" t="e">
        <f>IF(C382="",NA(),MATCH($B382&amp;$C382,'Smelter Reference List'!$J:$J,0))</f>
        <v>#N/A</v>
      </c>
      <c r="T382" s="229"/>
      <c r="U382" s="229">
        <f t="shared" ca="1" si="12"/>
        <v>0</v>
      </c>
      <c r="V382" s="229"/>
      <c r="W382" s="229"/>
      <c r="Y382" s="223" t="str">
        <f t="shared" si="13"/>
        <v/>
      </c>
    </row>
    <row r="383" spans="1:25" s="223" customFormat="1" ht="20.25">
      <c r="A383" s="291"/>
      <c r="B383" s="292" t="str">
        <f>IF(LEN(A383)=0,"",INDEX('Smelter Reference List'!$A:$A,MATCH($A383,'Smelter Reference List'!$E:$E,0)))</f>
        <v/>
      </c>
      <c r="C383" s="298" t="str">
        <f>IF(LEN(A383)=0,"",INDEX('Smelter Reference List'!$C:$C,MATCH($A383,'Smelter Reference List'!$E:$E,0)))</f>
        <v/>
      </c>
      <c r="D383" s="292" t="str">
        <f ca="1">IF(ISERROR($S383),"",OFFSET('Smelter Reference List'!$C$4,$S383-4,0)&amp;"")</f>
        <v/>
      </c>
      <c r="E383" s="292" t="str">
        <f ca="1">IF(ISERROR($S383),"",OFFSET('Smelter Reference List'!$D$4,$S383-4,0)&amp;"")</f>
        <v/>
      </c>
      <c r="F383" s="292" t="str">
        <f ca="1">IF(ISERROR($S383),"",OFFSET('Smelter Reference List'!$E$4,$S383-4,0))</f>
        <v/>
      </c>
      <c r="G383" s="292" t="str">
        <f ca="1">IF(C383=$U$4,"Enter smelter details", IF(ISERROR($S383),"",OFFSET('Smelter Reference List'!$F$4,$S383-4,0)))</f>
        <v/>
      </c>
      <c r="H383" s="293" t="str">
        <f ca="1">IF(ISERROR($S383),"",OFFSET('Smelter Reference List'!$G$4,$S383-4,0))</f>
        <v/>
      </c>
      <c r="I383" s="294" t="str">
        <f ca="1">IF(ISERROR($S383),"",OFFSET('Smelter Reference List'!$H$4,$S383-4,0))</f>
        <v/>
      </c>
      <c r="J383" s="294" t="str">
        <f ca="1">IF(ISERROR($S383),"",OFFSET('Smelter Reference List'!$I$4,$S383-4,0))</f>
        <v/>
      </c>
      <c r="K383" s="295"/>
      <c r="L383" s="295"/>
      <c r="M383" s="295"/>
      <c r="N383" s="295"/>
      <c r="O383" s="295"/>
      <c r="P383" s="295"/>
      <c r="Q383" s="296"/>
      <c r="R383" s="227"/>
      <c r="S383" s="228" t="e">
        <f>IF(C383="",NA(),MATCH($B383&amp;$C383,'Smelter Reference List'!$J:$J,0))</f>
        <v>#N/A</v>
      </c>
      <c r="T383" s="229"/>
      <c r="U383" s="229">
        <f t="shared" ca="1" si="12"/>
        <v>0</v>
      </c>
      <c r="V383" s="229"/>
      <c r="W383" s="229"/>
      <c r="Y383" s="223" t="str">
        <f t="shared" si="13"/>
        <v/>
      </c>
    </row>
    <row r="384" spans="1:25" s="223" customFormat="1" ht="20.25">
      <c r="A384" s="291"/>
      <c r="B384" s="292" t="str">
        <f>IF(LEN(A384)=0,"",INDEX('Smelter Reference List'!$A:$A,MATCH($A384,'Smelter Reference List'!$E:$E,0)))</f>
        <v/>
      </c>
      <c r="C384" s="298" t="str">
        <f>IF(LEN(A384)=0,"",INDEX('Smelter Reference List'!$C:$C,MATCH($A384,'Smelter Reference List'!$E:$E,0)))</f>
        <v/>
      </c>
      <c r="D384" s="292" t="str">
        <f ca="1">IF(ISERROR($S384),"",OFFSET('Smelter Reference List'!$C$4,$S384-4,0)&amp;"")</f>
        <v/>
      </c>
      <c r="E384" s="292" t="str">
        <f ca="1">IF(ISERROR($S384),"",OFFSET('Smelter Reference List'!$D$4,$S384-4,0)&amp;"")</f>
        <v/>
      </c>
      <c r="F384" s="292" t="str">
        <f ca="1">IF(ISERROR($S384),"",OFFSET('Smelter Reference List'!$E$4,$S384-4,0))</f>
        <v/>
      </c>
      <c r="G384" s="292" t="str">
        <f ca="1">IF(C384=$U$4,"Enter smelter details", IF(ISERROR($S384),"",OFFSET('Smelter Reference List'!$F$4,$S384-4,0)))</f>
        <v/>
      </c>
      <c r="H384" s="293" t="str">
        <f ca="1">IF(ISERROR($S384),"",OFFSET('Smelter Reference List'!$G$4,$S384-4,0))</f>
        <v/>
      </c>
      <c r="I384" s="294" t="str">
        <f ca="1">IF(ISERROR($S384),"",OFFSET('Smelter Reference List'!$H$4,$S384-4,0))</f>
        <v/>
      </c>
      <c r="J384" s="294" t="str">
        <f ca="1">IF(ISERROR($S384),"",OFFSET('Smelter Reference List'!$I$4,$S384-4,0))</f>
        <v/>
      </c>
      <c r="K384" s="295"/>
      <c r="L384" s="295"/>
      <c r="M384" s="295"/>
      <c r="N384" s="295"/>
      <c r="O384" s="295"/>
      <c r="P384" s="295"/>
      <c r="Q384" s="296"/>
      <c r="R384" s="227"/>
      <c r="S384" s="228" t="e">
        <f>IF(C384="",NA(),MATCH($B384&amp;$C384,'Smelter Reference List'!$J:$J,0))</f>
        <v>#N/A</v>
      </c>
      <c r="T384" s="229"/>
      <c r="U384" s="229">
        <f t="shared" ca="1" si="12"/>
        <v>0</v>
      </c>
      <c r="V384" s="229"/>
      <c r="W384" s="229"/>
      <c r="Y384" s="223" t="str">
        <f t="shared" si="13"/>
        <v/>
      </c>
    </row>
    <row r="385" spans="1:25" s="223" customFormat="1" ht="20.25">
      <c r="A385" s="291"/>
      <c r="B385" s="292" t="str">
        <f>IF(LEN(A385)=0,"",INDEX('Smelter Reference List'!$A:$A,MATCH($A385,'Smelter Reference List'!$E:$E,0)))</f>
        <v/>
      </c>
      <c r="C385" s="298" t="str">
        <f>IF(LEN(A385)=0,"",INDEX('Smelter Reference List'!$C:$C,MATCH($A385,'Smelter Reference List'!$E:$E,0)))</f>
        <v/>
      </c>
      <c r="D385" s="292" t="str">
        <f ca="1">IF(ISERROR($S385),"",OFFSET('Smelter Reference List'!$C$4,$S385-4,0)&amp;"")</f>
        <v/>
      </c>
      <c r="E385" s="292" t="str">
        <f ca="1">IF(ISERROR($S385),"",OFFSET('Smelter Reference List'!$D$4,$S385-4,0)&amp;"")</f>
        <v/>
      </c>
      <c r="F385" s="292" t="str">
        <f ca="1">IF(ISERROR($S385),"",OFFSET('Smelter Reference List'!$E$4,$S385-4,0))</f>
        <v/>
      </c>
      <c r="G385" s="292" t="str">
        <f ca="1">IF(C385=$U$4,"Enter smelter details", IF(ISERROR($S385),"",OFFSET('Smelter Reference List'!$F$4,$S385-4,0)))</f>
        <v/>
      </c>
      <c r="H385" s="293" t="str">
        <f ca="1">IF(ISERROR($S385),"",OFFSET('Smelter Reference List'!$G$4,$S385-4,0))</f>
        <v/>
      </c>
      <c r="I385" s="294" t="str">
        <f ca="1">IF(ISERROR($S385),"",OFFSET('Smelter Reference List'!$H$4,$S385-4,0))</f>
        <v/>
      </c>
      <c r="J385" s="294" t="str">
        <f ca="1">IF(ISERROR($S385),"",OFFSET('Smelter Reference List'!$I$4,$S385-4,0))</f>
        <v/>
      </c>
      <c r="K385" s="295"/>
      <c r="L385" s="295"/>
      <c r="M385" s="295"/>
      <c r="N385" s="295"/>
      <c r="O385" s="295"/>
      <c r="P385" s="295"/>
      <c r="Q385" s="296"/>
      <c r="R385" s="227"/>
      <c r="S385" s="228" t="e">
        <f>IF(C385="",NA(),MATCH($B385&amp;$C385,'Smelter Reference List'!$J:$J,0))</f>
        <v>#N/A</v>
      </c>
      <c r="T385" s="229"/>
      <c r="U385" s="229">
        <f t="shared" ca="1" si="12"/>
        <v>0</v>
      </c>
      <c r="V385" s="229"/>
      <c r="W385" s="229"/>
      <c r="Y385" s="223" t="str">
        <f t="shared" si="13"/>
        <v/>
      </c>
    </row>
    <row r="386" spans="1:25" s="223" customFormat="1" ht="20.25">
      <c r="A386" s="291"/>
      <c r="B386" s="292" t="str">
        <f>IF(LEN(A386)=0,"",INDEX('Smelter Reference List'!$A:$A,MATCH($A386,'Smelter Reference List'!$E:$E,0)))</f>
        <v/>
      </c>
      <c r="C386" s="298" t="str">
        <f>IF(LEN(A386)=0,"",INDEX('Smelter Reference List'!$C:$C,MATCH($A386,'Smelter Reference List'!$E:$E,0)))</f>
        <v/>
      </c>
      <c r="D386" s="292" t="str">
        <f ca="1">IF(ISERROR($S386),"",OFFSET('Smelter Reference List'!$C$4,$S386-4,0)&amp;"")</f>
        <v/>
      </c>
      <c r="E386" s="292" t="str">
        <f ca="1">IF(ISERROR($S386),"",OFFSET('Smelter Reference List'!$D$4,$S386-4,0)&amp;"")</f>
        <v/>
      </c>
      <c r="F386" s="292" t="str">
        <f ca="1">IF(ISERROR($S386),"",OFFSET('Smelter Reference List'!$E$4,$S386-4,0))</f>
        <v/>
      </c>
      <c r="G386" s="292" t="str">
        <f ca="1">IF(C386=$U$4,"Enter smelter details", IF(ISERROR($S386),"",OFFSET('Smelter Reference List'!$F$4,$S386-4,0)))</f>
        <v/>
      </c>
      <c r="H386" s="293" t="str">
        <f ca="1">IF(ISERROR($S386),"",OFFSET('Smelter Reference List'!$G$4,$S386-4,0))</f>
        <v/>
      </c>
      <c r="I386" s="294" t="str">
        <f ca="1">IF(ISERROR($S386),"",OFFSET('Smelter Reference List'!$H$4,$S386-4,0))</f>
        <v/>
      </c>
      <c r="J386" s="294" t="str">
        <f ca="1">IF(ISERROR($S386),"",OFFSET('Smelter Reference List'!$I$4,$S386-4,0))</f>
        <v/>
      </c>
      <c r="K386" s="295"/>
      <c r="L386" s="295"/>
      <c r="M386" s="295"/>
      <c r="N386" s="295"/>
      <c r="O386" s="295"/>
      <c r="P386" s="295"/>
      <c r="Q386" s="296"/>
      <c r="R386" s="227"/>
      <c r="S386" s="228" t="e">
        <f>IF(C386="",NA(),MATCH($B386&amp;$C386,'Smelter Reference List'!$J:$J,0))</f>
        <v>#N/A</v>
      </c>
      <c r="T386" s="229"/>
      <c r="U386" s="229">
        <f t="shared" ca="1" si="12"/>
        <v>0</v>
      </c>
      <c r="V386" s="229"/>
      <c r="W386" s="229"/>
      <c r="Y386" s="223" t="str">
        <f t="shared" si="13"/>
        <v/>
      </c>
    </row>
    <row r="387" spans="1:25" s="223" customFormat="1" ht="20.25">
      <c r="A387" s="291"/>
      <c r="B387" s="292" t="str">
        <f>IF(LEN(A387)=0,"",INDEX('Smelter Reference List'!$A:$A,MATCH($A387,'Smelter Reference List'!$E:$E,0)))</f>
        <v/>
      </c>
      <c r="C387" s="298" t="str">
        <f>IF(LEN(A387)=0,"",INDEX('Smelter Reference List'!$C:$C,MATCH($A387,'Smelter Reference List'!$E:$E,0)))</f>
        <v/>
      </c>
      <c r="D387" s="292" t="str">
        <f ca="1">IF(ISERROR($S387),"",OFFSET('Smelter Reference List'!$C$4,$S387-4,0)&amp;"")</f>
        <v/>
      </c>
      <c r="E387" s="292" t="str">
        <f ca="1">IF(ISERROR($S387),"",OFFSET('Smelter Reference List'!$D$4,$S387-4,0)&amp;"")</f>
        <v/>
      </c>
      <c r="F387" s="292" t="str">
        <f ca="1">IF(ISERROR($S387),"",OFFSET('Smelter Reference List'!$E$4,$S387-4,0))</f>
        <v/>
      </c>
      <c r="G387" s="292" t="str">
        <f ca="1">IF(C387=$U$4,"Enter smelter details", IF(ISERROR($S387),"",OFFSET('Smelter Reference List'!$F$4,$S387-4,0)))</f>
        <v/>
      </c>
      <c r="H387" s="293" t="str">
        <f ca="1">IF(ISERROR($S387),"",OFFSET('Smelter Reference List'!$G$4,$S387-4,0))</f>
        <v/>
      </c>
      <c r="I387" s="294" t="str">
        <f ca="1">IF(ISERROR($S387),"",OFFSET('Smelter Reference List'!$H$4,$S387-4,0))</f>
        <v/>
      </c>
      <c r="J387" s="294" t="str">
        <f ca="1">IF(ISERROR($S387),"",OFFSET('Smelter Reference List'!$I$4,$S387-4,0))</f>
        <v/>
      </c>
      <c r="K387" s="295"/>
      <c r="L387" s="295"/>
      <c r="M387" s="295"/>
      <c r="N387" s="295"/>
      <c r="O387" s="295"/>
      <c r="P387" s="295"/>
      <c r="Q387" s="296"/>
      <c r="R387" s="227"/>
      <c r="S387" s="228" t="e">
        <f>IF(C387="",NA(),MATCH($B387&amp;$C387,'Smelter Reference List'!$J:$J,0))</f>
        <v>#N/A</v>
      </c>
      <c r="T387" s="229"/>
      <c r="U387" s="229">
        <f t="shared" ca="1" si="12"/>
        <v>0</v>
      </c>
      <c r="V387" s="229"/>
      <c r="W387" s="229"/>
      <c r="Y387" s="223" t="str">
        <f t="shared" si="13"/>
        <v/>
      </c>
    </row>
    <row r="388" spans="1:25" s="223" customFormat="1" ht="20.25">
      <c r="A388" s="291"/>
      <c r="B388" s="292" t="str">
        <f>IF(LEN(A388)=0,"",INDEX('Smelter Reference List'!$A:$A,MATCH($A388,'Smelter Reference List'!$E:$E,0)))</f>
        <v/>
      </c>
      <c r="C388" s="298" t="str">
        <f>IF(LEN(A388)=0,"",INDEX('Smelter Reference List'!$C:$C,MATCH($A388,'Smelter Reference List'!$E:$E,0)))</f>
        <v/>
      </c>
      <c r="D388" s="292" t="str">
        <f ca="1">IF(ISERROR($S388),"",OFFSET('Smelter Reference List'!$C$4,$S388-4,0)&amp;"")</f>
        <v/>
      </c>
      <c r="E388" s="292" t="str">
        <f ca="1">IF(ISERROR($S388),"",OFFSET('Smelter Reference List'!$D$4,$S388-4,0)&amp;"")</f>
        <v/>
      </c>
      <c r="F388" s="292" t="str">
        <f ca="1">IF(ISERROR($S388),"",OFFSET('Smelter Reference List'!$E$4,$S388-4,0))</f>
        <v/>
      </c>
      <c r="G388" s="292" t="str">
        <f ca="1">IF(C388=$U$4,"Enter smelter details", IF(ISERROR($S388),"",OFFSET('Smelter Reference List'!$F$4,$S388-4,0)))</f>
        <v/>
      </c>
      <c r="H388" s="293" t="str">
        <f ca="1">IF(ISERROR($S388),"",OFFSET('Smelter Reference List'!$G$4,$S388-4,0))</f>
        <v/>
      </c>
      <c r="I388" s="294" t="str">
        <f ca="1">IF(ISERROR($S388),"",OFFSET('Smelter Reference List'!$H$4,$S388-4,0))</f>
        <v/>
      </c>
      <c r="J388" s="294" t="str">
        <f ca="1">IF(ISERROR($S388),"",OFFSET('Smelter Reference List'!$I$4,$S388-4,0))</f>
        <v/>
      </c>
      <c r="K388" s="295"/>
      <c r="L388" s="295"/>
      <c r="M388" s="295"/>
      <c r="N388" s="295"/>
      <c r="O388" s="295"/>
      <c r="P388" s="295"/>
      <c r="Q388" s="296"/>
      <c r="R388" s="227"/>
      <c r="S388" s="228" t="e">
        <f>IF(C388="",NA(),MATCH($B388&amp;$C388,'Smelter Reference List'!$J:$J,0))</f>
        <v>#N/A</v>
      </c>
      <c r="T388" s="229"/>
      <c r="U388" s="229">
        <f t="shared" ca="1" si="12"/>
        <v>0</v>
      </c>
      <c r="V388" s="229"/>
      <c r="W388" s="229"/>
      <c r="Y388" s="223" t="str">
        <f t="shared" si="13"/>
        <v/>
      </c>
    </row>
    <row r="389" spans="1:25" s="223" customFormat="1" ht="20.25">
      <c r="A389" s="291"/>
      <c r="B389" s="292" t="str">
        <f>IF(LEN(A389)=0,"",INDEX('Smelter Reference List'!$A:$A,MATCH($A389,'Smelter Reference List'!$E:$E,0)))</f>
        <v/>
      </c>
      <c r="C389" s="298" t="str">
        <f>IF(LEN(A389)=0,"",INDEX('Smelter Reference List'!$C:$C,MATCH($A389,'Smelter Reference List'!$E:$E,0)))</f>
        <v/>
      </c>
      <c r="D389" s="292" t="str">
        <f ca="1">IF(ISERROR($S389),"",OFFSET('Smelter Reference List'!$C$4,$S389-4,0)&amp;"")</f>
        <v/>
      </c>
      <c r="E389" s="292" t="str">
        <f ca="1">IF(ISERROR($S389),"",OFFSET('Smelter Reference List'!$D$4,$S389-4,0)&amp;"")</f>
        <v/>
      </c>
      <c r="F389" s="292" t="str">
        <f ca="1">IF(ISERROR($S389),"",OFFSET('Smelter Reference List'!$E$4,$S389-4,0))</f>
        <v/>
      </c>
      <c r="G389" s="292" t="str">
        <f ca="1">IF(C389=$U$4,"Enter smelter details", IF(ISERROR($S389),"",OFFSET('Smelter Reference List'!$F$4,$S389-4,0)))</f>
        <v/>
      </c>
      <c r="H389" s="293" t="str">
        <f ca="1">IF(ISERROR($S389),"",OFFSET('Smelter Reference List'!$G$4,$S389-4,0))</f>
        <v/>
      </c>
      <c r="I389" s="294" t="str">
        <f ca="1">IF(ISERROR($S389),"",OFFSET('Smelter Reference List'!$H$4,$S389-4,0))</f>
        <v/>
      </c>
      <c r="J389" s="294" t="str">
        <f ca="1">IF(ISERROR($S389),"",OFFSET('Smelter Reference List'!$I$4,$S389-4,0))</f>
        <v/>
      </c>
      <c r="K389" s="295"/>
      <c r="L389" s="295"/>
      <c r="M389" s="295"/>
      <c r="N389" s="295"/>
      <c r="O389" s="295"/>
      <c r="P389" s="295"/>
      <c r="Q389" s="296"/>
      <c r="R389" s="227"/>
      <c r="S389" s="228" t="e">
        <f>IF(C389="",NA(),MATCH($B389&amp;$C389,'Smelter Reference List'!$J:$J,0))</f>
        <v>#N/A</v>
      </c>
      <c r="T389" s="229"/>
      <c r="U389" s="229">
        <f t="shared" ref="U389:U452" ca="1" si="14">IF(AND(C389="Smelter not listed",OR(LEN(D389)=0,LEN(E389)=0)),1,0)</f>
        <v>0</v>
      </c>
      <c r="V389" s="229"/>
      <c r="W389" s="229"/>
      <c r="Y389" s="223" t="str">
        <f t="shared" ref="Y389:Y452" si="15">B389&amp;C389</f>
        <v/>
      </c>
    </row>
    <row r="390" spans="1:25" s="223" customFormat="1" ht="20.25">
      <c r="A390" s="291"/>
      <c r="B390" s="292" t="str">
        <f>IF(LEN(A390)=0,"",INDEX('Smelter Reference List'!$A:$A,MATCH($A390,'Smelter Reference List'!$E:$E,0)))</f>
        <v/>
      </c>
      <c r="C390" s="298" t="str">
        <f>IF(LEN(A390)=0,"",INDEX('Smelter Reference List'!$C:$C,MATCH($A390,'Smelter Reference List'!$E:$E,0)))</f>
        <v/>
      </c>
      <c r="D390" s="292" t="str">
        <f ca="1">IF(ISERROR($S390),"",OFFSET('Smelter Reference List'!$C$4,$S390-4,0)&amp;"")</f>
        <v/>
      </c>
      <c r="E390" s="292" t="str">
        <f ca="1">IF(ISERROR($S390),"",OFFSET('Smelter Reference List'!$D$4,$S390-4,0)&amp;"")</f>
        <v/>
      </c>
      <c r="F390" s="292" t="str">
        <f ca="1">IF(ISERROR($S390),"",OFFSET('Smelter Reference List'!$E$4,$S390-4,0))</f>
        <v/>
      </c>
      <c r="G390" s="292" t="str">
        <f ca="1">IF(C390=$U$4,"Enter smelter details", IF(ISERROR($S390),"",OFFSET('Smelter Reference List'!$F$4,$S390-4,0)))</f>
        <v/>
      </c>
      <c r="H390" s="293" t="str">
        <f ca="1">IF(ISERROR($S390),"",OFFSET('Smelter Reference List'!$G$4,$S390-4,0))</f>
        <v/>
      </c>
      <c r="I390" s="294" t="str">
        <f ca="1">IF(ISERROR($S390),"",OFFSET('Smelter Reference List'!$H$4,$S390-4,0))</f>
        <v/>
      </c>
      <c r="J390" s="294" t="str">
        <f ca="1">IF(ISERROR($S390),"",OFFSET('Smelter Reference List'!$I$4,$S390-4,0))</f>
        <v/>
      </c>
      <c r="K390" s="295"/>
      <c r="L390" s="295"/>
      <c r="M390" s="295"/>
      <c r="N390" s="295"/>
      <c r="O390" s="295"/>
      <c r="P390" s="295"/>
      <c r="Q390" s="296"/>
      <c r="R390" s="227"/>
      <c r="S390" s="228" t="e">
        <f>IF(C390="",NA(),MATCH($B390&amp;$C390,'Smelter Reference List'!$J:$J,0))</f>
        <v>#N/A</v>
      </c>
      <c r="T390" s="229"/>
      <c r="U390" s="229">
        <f t="shared" ca="1" si="14"/>
        <v>0</v>
      </c>
      <c r="V390" s="229"/>
      <c r="W390" s="229"/>
      <c r="Y390" s="223" t="str">
        <f t="shared" si="15"/>
        <v/>
      </c>
    </row>
    <row r="391" spans="1:25" s="223" customFormat="1" ht="20.25">
      <c r="A391" s="291"/>
      <c r="B391" s="292" t="str">
        <f>IF(LEN(A391)=0,"",INDEX('Smelter Reference List'!$A:$A,MATCH($A391,'Smelter Reference List'!$E:$E,0)))</f>
        <v/>
      </c>
      <c r="C391" s="298" t="str">
        <f>IF(LEN(A391)=0,"",INDEX('Smelter Reference List'!$C:$C,MATCH($A391,'Smelter Reference List'!$E:$E,0)))</f>
        <v/>
      </c>
      <c r="D391" s="292" t="str">
        <f ca="1">IF(ISERROR($S391),"",OFFSET('Smelter Reference List'!$C$4,$S391-4,0)&amp;"")</f>
        <v/>
      </c>
      <c r="E391" s="292" t="str">
        <f ca="1">IF(ISERROR($S391),"",OFFSET('Smelter Reference List'!$D$4,$S391-4,0)&amp;"")</f>
        <v/>
      </c>
      <c r="F391" s="292" t="str">
        <f ca="1">IF(ISERROR($S391),"",OFFSET('Smelter Reference List'!$E$4,$S391-4,0))</f>
        <v/>
      </c>
      <c r="G391" s="292" t="str">
        <f ca="1">IF(C391=$U$4,"Enter smelter details", IF(ISERROR($S391),"",OFFSET('Smelter Reference List'!$F$4,$S391-4,0)))</f>
        <v/>
      </c>
      <c r="H391" s="293" t="str">
        <f ca="1">IF(ISERROR($S391),"",OFFSET('Smelter Reference List'!$G$4,$S391-4,0))</f>
        <v/>
      </c>
      <c r="I391" s="294" t="str">
        <f ca="1">IF(ISERROR($S391),"",OFFSET('Smelter Reference List'!$H$4,$S391-4,0))</f>
        <v/>
      </c>
      <c r="J391" s="294" t="str">
        <f ca="1">IF(ISERROR($S391),"",OFFSET('Smelter Reference List'!$I$4,$S391-4,0))</f>
        <v/>
      </c>
      <c r="K391" s="295"/>
      <c r="L391" s="295"/>
      <c r="M391" s="295"/>
      <c r="N391" s="295"/>
      <c r="O391" s="295"/>
      <c r="P391" s="295"/>
      <c r="Q391" s="296"/>
      <c r="R391" s="227"/>
      <c r="S391" s="228" t="e">
        <f>IF(C391="",NA(),MATCH($B391&amp;$C391,'Smelter Reference List'!$J:$J,0))</f>
        <v>#N/A</v>
      </c>
      <c r="T391" s="229"/>
      <c r="U391" s="229">
        <f t="shared" ca="1" si="14"/>
        <v>0</v>
      </c>
      <c r="V391" s="229"/>
      <c r="W391" s="229"/>
      <c r="Y391" s="223" t="str">
        <f t="shared" si="15"/>
        <v/>
      </c>
    </row>
    <row r="392" spans="1:25" s="223" customFormat="1" ht="20.25">
      <c r="A392" s="291"/>
      <c r="B392" s="292" t="str">
        <f>IF(LEN(A392)=0,"",INDEX('Smelter Reference List'!$A:$A,MATCH($A392,'Smelter Reference List'!$E:$E,0)))</f>
        <v/>
      </c>
      <c r="C392" s="298" t="str">
        <f>IF(LEN(A392)=0,"",INDEX('Smelter Reference List'!$C:$C,MATCH($A392,'Smelter Reference List'!$E:$E,0)))</f>
        <v/>
      </c>
      <c r="D392" s="292" t="str">
        <f ca="1">IF(ISERROR($S392),"",OFFSET('Smelter Reference List'!$C$4,$S392-4,0)&amp;"")</f>
        <v/>
      </c>
      <c r="E392" s="292" t="str">
        <f ca="1">IF(ISERROR($S392),"",OFFSET('Smelter Reference List'!$D$4,$S392-4,0)&amp;"")</f>
        <v/>
      </c>
      <c r="F392" s="292" t="str">
        <f ca="1">IF(ISERROR($S392),"",OFFSET('Smelter Reference List'!$E$4,$S392-4,0))</f>
        <v/>
      </c>
      <c r="G392" s="292" t="str">
        <f ca="1">IF(C392=$U$4,"Enter smelter details", IF(ISERROR($S392),"",OFFSET('Smelter Reference List'!$F$4,$S392-4,0)))</f>
        <v/>
      </c>
      <c r="H392" s="293" t="str">
        <f ca="1">IF(ISERROR($S392),"",OFFSET('Smelter Reference List'!$G$4,$S392-4,0))</f>
        <v/>
      </c>
      <c r="I392" s="294" t="str">
        <f ca="1">IF(ISERROR($S392),"",OFFSET('Smelter Reference List'!$H$4,$S392-4,0))</f>
        <v/>
      </c>
      <c r="J392" s="294" t="str">
        <f ca="1">IF(ISERROR($S392),"",OFFSET('Smelter Reference List'!$I$4,$S392-4,0))</f>
        <v/>
      </c>
      <c r="K392" s="295"/>
      <c r="L392" s="295"/>
      <c r="M392" s="295"/>
      <c r="N392" s="295"/>
      <c r="O392" s="295"/>
      <c r="P392" s="295"/>
      <c r="Q392" s="296"/>
      <c r="R392" s="227"/>
      <c r="S392" s="228" t="e">
        <f>IF(C392="",NA(),MATCH($B392&amp;$C392,'Smelter Reference List'!$J:$J,0))</f>
        <v>#N/A</v>
      </c>
      <c r="T392" s="229"/>
      <c r="U392" s="229">
        <f t="shared" ca="1" si="14"/>
        <v>0</v>
      </c>
      <c r="V392" s="229"/>
      <c r="W392" s="229"/>
      <c r="Y392" s="223" t="str">
        <f t="shared" si="15"/>
        <v/>
      </c>
    </row>
    <row r="393" spans="1:25" s="223" customFormat="1" ht="20.25">
      <c r="A393" s="291"/>
      <c r="B393" s="292" t="str">
        <f>IF(LEN(A393)=0,"",INDEX('Smelter Reference List'!$A:$A,MATCH($A393,'Smelter Reference List'!$E:$E,0)))</f>
        <v/>
      </c>
      <c r="C393" s="298" t="str">
        <f>IF(LEN(A393)=0,"",INDEX('Smelter Reference List'!$C:$C,MATCH($A393,'Smelter Reference List'!$E:$E,0)))</f>
        <v/>
      </c>
      <c r="D393" s="292" t="str">
        <f ca="1">IF(ISERROR($S393),"",OFFSET('Smelter Reference List'!$C$4,$S393-4,0)&amp;"")</f>
        <v/>
      </c>
      <c r="E393" s="292" t="str">
        <f ca="1">IF(ISERROR($S393),"",OFFSET('Smelter Reference List'!$D$4,$S393-4,0)&amp;"")</f>
        <v/>
      </c>
      <c r="F393" s="292" t="str">
        <f ca="1">IF(ISERROR($S393),"",OFFSET('Smelter Reference List'!$E$4,$S393-4,0))</f>
        <v/>
      </c>
      <c r="G393" s="292" t="str">
        <f ca="1">IF(C393=$U$4,"Enter smelter details", IF(ISERROR($S393),"",OFFSET('Smelter Reference List'!$F$4,$S393-4,0)))</f>
        <v/>
      </c>
      <c r="H393" s="293" t="str">
        <f ca="1">IF(ISERROR($S393),"",OFFSET('Smelter Reference List'!$G$4,$S393-4,0))</f>
        <v/>
      </c>
      <c r="I393" s="294" t="str">
        <f ca="1">IF(ISERROR($S393),"",OFFSET('Smelter Reference List'!$H$4,$S393-4,0))</f>
        <v/>
      </c>
      <c r="J393" s="294" t="str">
        <f ca="1">IF(ISERROR($S393),"",OFFSET('Smelter Reference List'!$I$4,$S393-4,0))</f>
        <v/>
      </c>
      <c r="K393" s="295"/>
      <c r="L393" s="295"/>
      <c r="M393" s="295"/>
      <c r="N393" s="295"/>
      <c r="O393" s="295"/>
      <c r="P393" s="295"/>
      <c r="Q393" s="296"/>
      <c r="R393" s="227"/>
      <c r="S393" s="228" t="e">
        <f>IF(C393="",NA(),MATCH($B393&amp;$C393,'Smelter Reference List'!$J:$J,0))</f>
        <v>#N/A</v>
      </c>
      <c r="T393" s="229"/>
      <c r="U393" s="229">
        <f t="shared" ca="1" si="14"/>
        <v>0</v>
      </c>
      <c r="V393" s="229"/>
      <c r="W393" s="229"/>
      <c r="Y393" s="223" t="str">
        <f t="shared" si="15"/>
        <v/>
      </c>
    </row>
    <row r="394" spans="1:25" s="223" customFormat="1" ht="20.25">
      <c r="A394" s="291"/>
      <c r="B394" s="292" t="str">
        <f>IF(LEN(A394)=0,"",INDEX('Smelter Reference List'!$A:$A,MATCH($A394,'Smelter Reference List'!$E:$E,0)))</f>
        <v/>
      </c>
      <c r="C394" s="298" t="str">
        <f>IF(LEN(A394)=0,"",INDEX('Smelter Reference List'!$C:$C,MATCH($A394,'Smelter Reference List'!$E:$E,0)))</f>
        <v/>
      </c>
      <c r="D394" s="292" t="str">
        <f ca="1">IF(ISERROR($S394),"",OFFSET('Smelter Reference List'!$C$4,$S394-4,0)&amp;"")</f>
        <v/>
      </c>
      <c r="E394" s="292" t="str">
        <f ca="1">IF(ISERROR($S394),"",OFFSET('Smelter Reference List'!$D$4,$S394-4,0)&amp;"")</f>
        <v/>
      </c>
      <c r="F394" s="292" t="str">
        <f ca="1">IF(ISERROR($S394),"",OFFSET('Smelter Reference List'!$E$4,$S394-4,0))</f>
        <v/>
      </c>
      <c r="G394" s="292" t="str">
        <f ca="1">IF(C394=$U$4,"Enter smelter details", IF(ISERROR($S394),"",OFFSET('Smelter Reference List'!$F$4,$S394-4,0)))</f>
        <v/>
      </c>
      <c r="H394" s="293" t="str">
        <f ca="1">IF(ISERROR($S394),"",OFFSET('Smelter Reference List'!$G$4,$S394-4,0))</f>
        <v/>
      </c>
      <c r="I394" s="294" t="str">
        <f ca="1">IF(ISERROR($S394),"",OFFSET('Smelter Reference List'!$H$4,$S394-4,0))</f>
        <v/>
      </c>
      <c r="J394" s="294" t="str">
        <f ca="1">IF(ISERROR($S394),"",OFFSET('Smelter Reference List'!$I$4,$S394-4,0))</f>
        <v/>
      </c>
      <c r="K394" s="295"/>
      <c r="L394" s="295"/>
      <c r="M394" s="295"/>
      <c r="N394" s="295"/>
      <c r="O394" s="295"/>
      <c r="P394" s="295"/>
      <c r="Q394" s="296"/>
      <c r="R394" s="227"/>
      <c r="S394" s="228" t="e">
        <f>IF(C394="",NA(),MATCH($B394&amp;$C394,'Smelter Reference List'!$J:$J,0))</f>
        <v>#N/A</v>
      </c>
      <c r="T394" s="229"/>
      <c r="U394" s="229">
        <f t="shared" ca="1" si="14"/>
        <v>0</v>
      </c>
      <c r="V394" s="229"/>
      <c r="W394" s="229"/>
      <c r="Y394" s="223" t="str">
        <f t="shared" si="15"/>
        <v/>
      </c>
    </row>
    <row r="395" spans="1:25" s="223" customFormat="1" ht="20.25">
      <c r="A395" s="291"/>
      <c r="B395" s="292" t="str">
        <f>IF(LEN(A395)=0,"",INDEX('Smelter Reference List'!$A:$A,MATCH($A395,'Smelter Reference List'!$E:$E,0)))</f>
        <v/>
      </c>
      <c r="C395" s="298" t="str">
        <f>IF(LEN(A395)=0,"",INDEX('Smelter Reference List'!$C:$C,MATCH($A395,'Smelter Reference List'!$E:$E,0)))</f>
        <v/>
      </c>
      <c r="D395" s="292" t="str">
        <f ca="1">IF(ISERROR($S395),"",OFFSET('Smelter Reference List'!$C$4,$S395-4,0)&amp;"")</f>
        <v/>
      </c>
      <c r="E395" s="292" t="str">
        <f ca="1">IF(ISERROR($S395),"",OFFSET('Smelter Reference List'!$D$4,$S395-4,0)&amp;"")</f>
        <v/>
      </c>
      <c r="F395" s="292" t="str">
        <f ca="1">IF(ISERROR($S395),"",OFFSET('Smelter Reference List'!$E$4,$S395-4,0))</f>
        <v/>
      </c>
      <c r="G395" s="292" t="str">
        <f ca="1">IF(C395=$U$4,"Enter smelter details", IF(ISERROR($S395),"",OFFSET('Smelter Reference List'!$F$4,$S395-4,0)))</f>
        <v/>
      </c>
      <c r="H395" s="293" t="str">
        <f ca="1">IF(ISERROR($S395),"",OFFSET('Smelter Reference List'!$G$4,$S395-4,0))</f>
        <v/>
      </c>
      <c r="I395" s="294" t="str">
        <f ca="1">IF(ISERROR($S395),"",OFFSET('Smelter Reference List'!$H$4,$S395-4,0))</f>
        <v/>
      </c>
      <c r="J395" s="294" t="str">
        <f ca="1">IF(ISERROR($S395),"",OFFSET('Smelter Reference List'!$I$4,$S395-4,0))</f>
        <v/>
      </c>
      <c r="K395" s="295"/>
      <c r="L395" s="295"/>
      <c r="M395" s="295"/>
      <c r="N395" s="295"/>
      <c r="O395" s="295"/>
      <c r="P395" s="295"/>
      <c r="Q395" s="296"/>
      <c r="R395" s="227"/>
      <c r="S395" s="228" t="e">
        <f>IF(C395="",NA(),MATCH($B395&amp;$C395,'Smelter Reference List'!$J:$J,0))</f>
        <v>#N/A</v>
      </c>
      <c r="T395" s="229"/>
      <c r="U395" s="229">
        <f t="shared" ca="1" si="14"/>
        <v>0</v>
      </c>
      <c r="V395" s="229"/>
      <c r="W395" s="229"/>
      <c r="Y395" s="223" t="str">
        <f t="shared" si="15"/>
        <v/>
      </c>
    </row>
    <row r="396" spans="1:25" s="223" customFormat="1" ht="20.25">
      <c r="A396" s="291"/>
      <c r="B396" s="292" t="str">
        <f>IF(LEN(A396)=0,"",INDEX('Smelter Reference List'!$A:$A,MATCH($A396,'Smelter Reference List'!$E:$E,0)))</f>
        <v/>
      </c>
      <c r="C396" s="298" t="str">
        <f>IF(LEN(A396)=0,"",INDEX('Smelter Reference List'!$C:$C,MATCH($A396,'Smelter Reference List'!$E:$E,0)))</f>
        <v/>
      </c>
      <c r="D396" s="292" t="str">
        <f ca="1">IF(ISERROR($S396),"",OFFSET('Smelter Reference List'!$C$4,$S396-4,0)&amp;"")</f>
        <v/>
      </c>
      <c r="E396" s="292" t="str">
        <f ca="1">IF(ISERROR($S396),"",OFFSET('Smelter Reference List'!$D$4,$S396-4,0)&amp;"")</f>
        <v/>
      </c>
      <c r="F396" s="292" t="str">
        <f ca="1">IF(ISERROR($S396),"",OFFSET('Smelter Reference List'!$E$4,$S396-4,0))</f>
        <v/>
      </c>
      <c r="G396" s="292" t="str">
        <f ca="1">IF(C396=$U$4,"Enter smelter details", IF(ISERROR($S396),"",OFFSET('Smelter Reference List'!$F$4,$S396-4,0)))</f>
        <v/>
      </c>
      <c r="H396" s="293" t="str">
        <f ca="1">IF(ISERROR($S396),"",OFFSET('Smelter Reference List'!$G$4,$S396-4,0))</f>
        <v/>
      </c>
      <c r="I396" s="294" t="str">
        <f ca="1">IF(ISERROR($S396),"",OFFSET('Smelter Reference List'!$H$4,$S396-4,0))</f>
        <v/>
      </c>
      <c r="J396" s="294" t="str">
        <f ca="1">IF(ISERROR($S396),"",OFFSET('Smelter Reference List'!$I$4,$S396-4,0))</f>
        <v/>
      </c>
      <c r="K396" s="295"/>
      <c r="L396" s="295"/>
      <c r="M396" s="295"/>
      <c r="N396" s="295"/>
      <c r="O396" s="295"/>
      <c r="P396" s="295"/>
      <c r="Q396" s="296"/>
      <c r="R396" s="227"/>
      <c r="S396" s="228" t="e">
        <f>IF(C396="",NA(),MATCH($B396&amp;$C396,'Smelter Reference List'!$J:$J,0))</f>
        <v>#N/A</v>
      </c>
      <c r="T396" s="229"/>
      <c r="U396" s="229">
        <f t="shared" ca="1" si="14"/>
        <v>0</v>
      </c>
      <c r="V396" s="229"/>
      <c r="W396" s="229"/>
      <c r="Y396" s="223" t="str">
        <f t="shared" si="15"/>
        <v/>
      </c>
    </row>
    <row r="397" spans="1:25" s="223" customFormat="1" ht="20.25">
      <c r="A397" s="291"/>
      <c r="B397" s="292" t="str">
        <f>IF(LEN(A397)=0,"",INDEX('Smelter Reference List'!$A:$A,MATCH($A397,'Smelter Reference List'!$E:$E,0)))</f>
        <v/>
      </c>
      <c r="C397" s="298" t="str">
        <f>IF(LEN(A397)=0,"",INDEX('Smelter Reference List'!$C:$C,MATCH($A397,'Smelter Reference List'!$E:$E,0)))</f>
        <v/>
      </c>
      <c r="D397" s="292" t="str">
        <f ca="1">IF(ISERROR($S397),"",OFFSET('Smelter Reference List'!$C$4,$S397-4,0)&amp;"")</f>
        <v/>
      </c>
      <c r="E397" s="292" t="str">
        <f ca="1">IF(ISERROR($S397),"",OFFSET('Smelter Reference List'!$D$4,$S397-4,0)&amp;"")</f>
        <v/>
      </c>
      <c r="F397" s="292" t="str">
        <f ca="1">IF(ISERROR($S397),"",OFFSET('Smelter Reference List'!$E$4,$S397-4,0))</f>
        <v/>
      </c>
      <c r="G397" s="292" t="str">
        <f ca="1">IF(C397=$U$4,"Enter smelter details", IF(ISERROR($S397),"",OFFSET('Smelter Reference List'!$F$4,$S397-4,0)))</f>
        <v/>
      </c>
      <c r="H397" s="293" t="str">
        <f ca="1">IF(ISERROR($S397),"",OFFSET('Smelter Reference List'!$G$4,$S397-4,0))</f>
        <v/>
      </c>
      <c r="I397" s="294" t="str">
        <f ca="1">IF(ISERROR($S397),"",OFFSET('Smelter Reference List'!$H$4,$S397-4,0))</f>
        <v/>
      </c>
      <c r="J397" s="294" t="str">
        <f ca="1">IF(ISERROR($S397),"",OFFSET('Smelter Reference List'!$I$4,$S397-4,0))</f>
        <v/>
      </c>
      <c r="K397" s="295"/>
      <c r="L397" s="295"/>
      <c r="M397" s="295"/>
      <c r="N397" s="295"/>
      <c r="O397" s="295"/>
      <c r="P397" s="295"/>
      <c r="Q397" s="296"/>
      <c r="R397" s="227"/>
      <c r="S397" s="228" t="e">
        <f>IF(C397="",NA(),MATCH($B397&amp;$C397,'Smelter Reference List'!$J:$J,0))</f>
        <v>#N/A</v>
      </c>
      <c r="T397" s="229"/>
      <c r="U397" s="229">
        <f t="shared" ca="1" si="14"/>
        <v>0</v>
      </c>
      <c r="V397" s="229"/>
      <c r="W397" s="229"/>
      <c r="Y397" s="223" t="str">
        <f t="shared" si="15"/>
        <v/>
      </c>
    </row>
    <row r="398" spans="1:25" s="223" customFormat="1" ht="20.25">
      <c r="A398" s="291"/>
      <c r="B398" s="292" t="str">
        <f>IF(LEN(A398)=0,"",INDEX('Smelter Reference List'!$A:$A,MATCH($A398,'Smelter Reference List'!$E:$E,0)))</f>
        <v/>
      </c>
      <c r="C398" s="298" t="str">
        <f>IF(LEN(A398)=0,"",INDEX('Smelter Reference List'!$C:$C,MATCH($A398,'Smelter Reference List'!$E:$E,0)))</f>
        <v/>
      </c>
      <c r="D398" s="292" t="str">
        <f ca="1">IF(ISERROR($S398),"",OFFSET('Smelter Reference List'!$C$4,$S398-4,0)&amp;"")</f>
        <v/>
      </c>
      <c r="E398" s="292" t="str">
        <f ca="1">IF(ISERROR($S398),"",OFFSET('Smelter Reference List'!$D$4,$S398-4,0)&amp;"")</f>
        <v/>
      </c>
      <c r="F398" s="292" t="str">
        <f ca="1">IF(ISERROR($S398),"",OFFSET('Smelter Reference List'!$E$4,$S398-4,0))</f>
        <v/>
      </c>
      <c r="G398" s="292" t="str">
        <f ca="1">IF(C398=$U$4,"Enter smelter details", IF(ISERROR($S398),"",OFFSET('Smelter Reference List'!$F$4,$S398-4,0)))</f>
        <v/>
      </c>
      <c r="H398" s="293" t="str">
        <f ca="1">IF(ISERROR($S398),"",OFFSET('Smelter Reference List'!$G$4,$S398-4,0))</f>
        <v/>
      </c>
      <c r="I398" s="294" t="str">
        <f ca="1">IF(ISERROR($S398),"",OFFSET('Smelter Reference List'!$H$4,$S398-4,0))</f>
        <v/>
      </c>
      <c r="J398" s="294" t="str">
        <f ca="1">IF(ISERROR($S398),"",OFFSET('Smelter Reference List'!$I$4,$S398-4,0))</f>
        <v/>
      </c>
      <c r="K398" s="295"/>
      <c r="L398" s="295"/>
      <c r="M398" s="295"/>
      <c r="N398" s="295"/>
      <c r="O398" s="295"/>
      <c r="P398" s="295"/>
      <c r="Q398" s="296"/>
      <c r="R398" s="227"/>
      <c r="S398" s="228" t="e">
        <f>IF(C398="",NA(),MATCH($B398&amp;$C398,'Smelter Reference List'!$J:$J,0))</f>
        <v>#N/A</v>
      </c>
      <c r="T398" s="229"/>
      <c r="U398" s="229">
        <f t="shared" ca="1" si="14"/>
        <v>0</v>
      </c>
      <c r="V398" s="229"/>
      <c r="W398" s="229"/>
      <c r="Y398" s="223" t="str">
        <f t="shared" si="15"/>
        <v/>
      </c>
    </row>
    <row r="399" spans="1:25" s="223" customFormat="1" ht="20.25">
      <c r="A399" s="291"/>
      <c r="B399" s="292" t="str">
        <f>IF(LEN(A399)=0,"",INDEX('Smelter Reference List'!$A:$A,MATCH($A399,'Smelter Reference List'!$E:$E,0)))</f>
        <v/>
      </c>
      <c r="C399" s="298" t="str">
        <f>IF(LEN(A399)=0,"",INDEX('Smelter Reference List'!$C:$C,MATCH($A399,'Smelter Reference List'!$E:$E,0)))</f>
        <v/>
      </c>
      <c r="D399" s="292" t="str">
        <f ca="1">IF(ISERROR($S399),"",OFFSET('Smelter Reference List'!$C$4,$S399-4,0)&amp;"")</f>
        <v/>
      </c>
      <c r="E399" s="292" t="str">
        <f ca="1">IF(ISERROR($S399),"",OFFSET('Smelter Reference List'!$D$4,$S399-4,0)&amp;"")</f>
        <v/>
      </c>
      <c r="F399" s="292" t="str">
        <f ca="1">IF(ISERROR($S399),"",OFFSET('Smelter Reference List'!$E$4,$S399-4,0))</f>
        <v/>
      </c>
      <c r="G399" s="292" t="str">
        <f ca="1">IF(C399=$U$4,"Enter smelter details", IF(ISERROR($S399),"",OFFSET('Smelter Reference List'!$F$4,$S399-4,0)))</f>
        <v/>
      </c>
      <c r="H399" s="293" t="str">
        <f ca="1">IF(ISERROR($S399),"",OFFSET('Smelter Reference List'!$G$4,$S399-4,0))</f>
        <v/>
      </c>
      <c r="I399" s="294" t="str">
        <f ca="1">IF(ISERROR($S399),"",OFFSET('Smelter Reference List'!$H$4,$S399-4,0))</f>
        <v/>
      </c>
      <c r="J399" s="294" t="str">
        <f ca="1">IF(ISERROR($S399),"",OFFSET('Smelter Reference List'!$I$4,$S399-4,0))</f>
        <v/>
      </c>
      <c r="K399" s="295"/>
      <c r="L399" s="295"/>
      <c r="M399" s="295"/>
      <c r="N399" s="295"/>
      <c r="O399" s="295"/>
      <c r="P399" s="295"/>
      <c r="Q399" s="296"/>
      <c r="R399" s="227"/>
      <c r="S399" s="228" t="e">
        <f>IF(C399="",NA(),MATCH($B399&amp;$C399,'Smelter Reference List'!$J:$J,0))</f>
        <v>#N/A</v>
      </c>
      <c r="T399" s="229"/>
      <c r="U399" s="229">
        <f t="shared" ca="1" si="14"/>
        <v>0</v>
      </c>
      <c r="V399" s="229"/>
      <c r="W399" s="229"/>
      <c r="Y399" s="223" t="str">
        <f t="shared" si="15"/>
        <v/>
      </c>
    </row>
    <row r="400" spans="1:25" s="223" customFormat="1" ht="20.25">
      <c r="A400" s="291"/>
      <c r="B400" s="292" t="str">
        <f>IF(LEN(A400)=0,"",INDEX('Smelter Reference List'!$A:$A,MATCH($A400,'Smelter Reference List'!$E:$E,0)))</f>
        <v/>
      </c>
      <c r="C400" s="298" t="str">
        <f>IF(LEN(A400)=0,"",INDEX('Smelter Reference List'!$C:$C,MATCH($A400,'Smelter Reference List'!$E:$E,0)))</f>
        <v/>
      </c>
      <c r="D400" s="292" t="str">
        <f ca="1">IF(ISERROR($S400),"",OFFSET('Smelter Reference List'!$C$4,$S400-4,0)&amp;"")</f>
        <v/>
      </c>
      <c r="E400" s="292" t="str">
        <f ca="1">IF(ISERROR($S400),"",OFFSET('Smelter Reference List'!$D$4,$S400-4,0)&amp;"")</f>
        <v/>
      </c>
      <c r="F400" s="292" t="str">
        <f ca="1">IF(ISERROR($S400),"",OFFSET('Smelter Reference List'!$E$4,$S400-4,0))</f>
        <v/>
      </c>
      <c r="G400" s="292" t="str">
        <f ca="1">IF(C400=$U$4,"Enter smelter details", IF(ISERROR($S400),"",OFFSET('Smelter Reference List'!$F$4,$S400-4,0)))</f>
        <v/>
      </c>
      <c r="H400" s="293" t="str">
        <f ca="1">IF(ISERROR($S400),"",OFFSET('Smelter Reference List'!$G$4,$S400-4,0))</f>
        <v/>
      </c>
      <c r="I400" s="294" t="str">
        <f ca="1">IF(ISERROR($S400),"",OFFSET('Smelter Reference List'!$H$4,$S400-4,0))</f>
        <v/>
      </c>
      <c r="J400" s="294" t="str">
        <f ca="1">IF(ISERROR($S400),"",OFFSET('Smelter Reference List'!$I$4,$S400-4,0))</f>
        <v/>
      </c>
      <c r="K400" s="295"/>
      <c r="L400" s="295"/>
      <c r="M400" s="295"/>
      <c r="N400" s="295"/>
      <c r="O400" s="295"/>
      <c r="P400" s="295"/>
      <c r="Q400" s="296"/>
      <c r="R400" s="227"/>
      <c r="S400" s="228" t="e">
        <f>IF(C400="",NA(),MATCH($B400&amp;$C400,'Smelter Reference List'!$J:$J,0))</f>
        <v>#N/A</v>
      </c>
      <c r="T400" s="229"/>
      <c r="U400" s="229">
        <f t="shared" ca="1" si="14"/>
        <v>0</v>
      </c>
      <c r="V400" s="229"/>
      <c r="W400" s="229"/>
      <c r="Y400" s="223" t="str">
        <f t="shared" si="15"/>
        <v/>
      </c>
    </row>
    <row r="401" spans="1:25" s="223" customFormat="1" ht="20.25">
      <c r="A401" s="291"/>
      <c r="B401" s="292" t="str">
        <f>IF(LEN(A401)=0,"",INDEX('Smelter Reference List'!$A:$A,MATCH($A401,'Smelter Reference List'!$E:$E,0)))</f>
        <v/>
      </c>
      <c r="C401" s="298" t="str">
        <f>IF(LEN(A401)=0,"",INDEX('Smelter Reference List'!$C:$C,MATCH($A401,'Smelter Reference List'!$E:$E,0)))</f>
        <v/>
      </c>
      <c r="D401" s="292" t="str">
        <f ca="1">IF(ISERROR($S401),"",OFFSET('Smelter Reference List'!$C$4,$S401-4,0)&amp;"")</f>
        <v/>
      </c>
      <c r="E401" s="292" t="str">
        <f ca="1">IF(ISERROR($S401),"",OFFSET('Smelter Reference List'!$D$4,$S401-4,0)&amp;"")</f>
        <v/>
      </c>
      <c r="F401" s="292" t="str">
        <f ca="1">IF(ISERROR($S401),"",OFFSET('Smelter Reference List'!$E$4,$S401-4,0))</f>
        <v/>
      </c>
      <c r="G401" s="292" t="str">
        <f ca="1">IF(C401=$U$4,"Enter smelter details", IF(ISERROR($S401),"",OFFSET('Smelter Reference List'!$F$4,$S401-4,0)))</f>
        <v/>
      </c>
      <c r="H401" s="293" t="str">
        <f ca="1">IF(ISERROR($S401),"",OFFSET('Smelter Reference List'!$G$4,$S401-4,0))</f>
        <v/>
      </c>
      <c r="I401" s="294" t="str">
        <f ca="1">IF(ISERROR($S401),"",OFFSET('Smelter Reference List'!$H$4,$S401-4,0))</f>
        <v/>
      </c>
      <c r="J401" s="294" t="str">
        <f ca="1">IF(ISERROR($S401),"",OFFSET('Smelter Reference List'!$I$4,$S401-4,0))</f>
        <v/>
      </c>
      <c r="K401" s="295"/>
      <c r="L401" s="295"/>
      <c r="M401" s="295"/>
      <c r="N401" s="295"/>
      <c r="O401" s="295"/>
      <c r="P401" s="295"/>
      <c r="Q401" s="296"/>
      <c r="R401" s="227"/>
      <c r="S401" s="228" t="e">
        <f>IF(C401="",NA(),MATCH($B401&amp;$C401,'Smelter Reference List'!$J:$J,0))</f>
        <v>#N/A</v>
      </c>
      <c r="T401" s="229"/>
      <c r="U401" s="229">
        <f t="shared" ca="1" si="14"/>
        <v>0</v>
      </c>
      <c r="V401" s="229"/>
      <c r="W401" s="229"/>
      <c r="Y401" s="223" t="str">
        <f t="shared" si="15"/>
        <v/>
      </c>
    </row>
    <row r="402" spans="1:25" s="223" customFormat="1" ht="20.25">
      <c r="A402" s="291"/>
      <c r="B402" s="292" t="str">
        <f>IF(LEN(A402)=0,"",INDEX('Smelter Reference List'!$A:$A,MATCH($A402,'Smelter Reference List'!$E:$E,0)))</f>
        <v/>
      </c>
      <c r="C402" s="298" t="str">
        <f>IF(LEN(A402)=0,"",INDEX('Smelter Reference List'!$C:$C,MATCH($A402,'Smelter Reference List'!$E:$E,0)))</f>
        <v/>
      </c>
      <c r="D402" s="292" t="str">
        <f ca="1">IF(ISERROR($S402),"",OFFSET('Smelter Reference List'!$C$4,$S402-4,0)&amp;"")</f>
        <v/>
      </c>
      <c r="E402" s="292" t="str">
        <f ca="1">IF(ISERROR($S402),"",OFFSET('Smelter Reference List'!$D$4,$S402-4,0)&amp;"")</f>
        <v/>
      </c>
      <c r="F402" s="292" t="str">
        <f ca="1">IF(ISERROR($S402),"",OFFSET('Smelter Reference List'!$E$4,$S402-4,0))</f>
        <v/>
      </c>
      <c r="G402" s="292" t="str">
        <f ca="1">IF(C402=$U$4,"Enter smelter details", IF(ISERROR($S402),"",OFFSET('Smelter Reference List'!$F$4,$S402-4,0)))</f>
        <v/>
      </c>
      <c r="H402" s="293" t="str">
        <f ca="1">IF(ISERROR($S402),"",OFFSET('Smelter Reference List'!$G$4,$S402-4,0))</f>
        <v/>
      </c>
      <c r="I402" s="294" t="str">
        <f ca="1">IF(ISERROR($S402),"",OFFSET('Smelter Reference List'!$H$4,$S402-4,0))</f>
        <v/>
      </c>
      <c r="J402" s="294" t="str">
        <f ca="1">IF(ISERROR($S402),"",OFFSET('Smelter Reference List'!$I$4,$S402-4,0))</f>
        <v/>
      </c>
      <c r="K402" s="295"/>
      <c r="L402" s="295"/>
      <c r="M402" s="295"/>
      <c r="N402" s="295"/>
      <c r="O402" s="295"/>
      <c r="P402" s="295"/>
      <c r="Q402" s="296"/>
      <c r="R402" s="227"/>
      <c r="S402" s="228" t="e">
        <f>IF(C402="",NA(),MATCH($B402&amp;$C402,'Smelter Reference List'!$J:$J,0))</f>
        <v>#N/A</v>
      </c>
      <c r="T402" s="229"/>
      <c r="U402" s="229">
        <f t="shared" ca="1" si="14"/>
        <v>0</v>
      </c>
      <c r="V402" s="229"/>
      <c r="W402" s="229"/>
      <c r="Y402" s="223" t="str">
        <f t="shared" si="15"/>
        <v/>
      </c>
    </row>
    <row r="403" spans="1:25" s="223" customFormat="1" ht="20.25">
      <c r="A403" s="291"/>
      <c r="B403" s="292" t="str">
        <f>IF(LEN(A403)=0,"",INDEX('Smelter Reference List'!$A:$A,MATCH($A403,'Smelter Reference List'!$E:$E,0)))</f>
        <v/>
      </c>
      <c r="C403" s="298" t="str">
        <f>IF(LEN(A403)=0,"",INDEX('Smelter Reference List'!$C:$C,MATCH($A403,'Smelter Reference List'!$E:$E,0)))</f>
        <v/>
      </c>
      <c r="D403" s="292" t="str">
        <f ca="1">IF(ISERROR($S403),"",OFFSET('Smelter Reference List'!$C$4,$S403-4,0)&amp;"")</f>
        <v/>
      </c>
      <c r="E403" s="292" t="str">
        <f ca="1">IF(ISERROR($S403),"",OFFSET('Smelter Reference List'!$D$4,$S403-4,0)&amp;"")</f>
        <v/>
      </c>
      <c r="F403" s="292" t="str">
        <f ca="1">IF(ISERROR($S403),"",OFFSET('Smelter Reference List'!$E$4,$S403-4,0))</f>
        <v/>
      </c>
      <c r="G403" s="292" t="str">
        <f ca="1">IF(C403=$U$4,"Enter smelter details", IF(ISERROR($S403),"",OFFSET('Smelter Reference List'!$F$4,$S403-4,0)))</f>
        <v/>
      </c>
      <c r="H403" s="293" t="str">
        <f ca="1">IF(ISERROR($S403),"",OFFSET('Smelter Reference List'!$G$4,$S403-4,0))</f>
        <v/>
      </c>
      <c r="I403" s="294" t="str">
        <f ca="1">IF(ISERROR($S403),"",OFFSET('Smelter Reference List'!$H$4,$S403-4,0))</f>
        <v/>
      </c>
      <c r="J403" s="294" t="str">
        <f ca="1">IF(ISERROR($S403),"",OFFSET('Smelter Reference List'!$I$4,$S403-4,0))</f>
        <v/>
      </c>
      <c r="K403" s="295"/>
      <c r="L403" s="295"/>
      <c r="M403" s="295"/>
      <c r="N403" s="295"/>
      <c r="O403" s="295"/>
      <c r="P403" s="295"/>
      <c r="Q403" s="296"/>
      <c r="R403" s="227"/>
      <c r="S403" s="228" t="e">
        <f>IF(C403="",NA(),MATCH($B403&amp;$C403,'Smelter Reference List'!$J:$J,0))</f>
        <v>#N/A</v>
      </c>
      <c r="T403" s="229"/>
      <c r="U403" s="229">
        <f t="shared" ca="1" si="14"/>
        <v>0</v>
      </c>
      <c r="V403" s="229"/>
      <c r="W403" s="229"/>
      <c r="Y403" s="223" t="str">
        <f t="shared" si="15"/>
        <v/>
      </c>
    </row>
    <row r="404" spans="1:25" s="223" customFormat="1" ht="20.25">
      <c r="A404" s="291"/>
      <c r="B404" s="292" t="str">
        <f>IF(LEN(A404)=0,"",INDEX('Smelter Reference List'!$A:$A,MATCH($A404,'Smelter Reference List'!$E:$E,0)))</f>
        <v/>
      </c>
      <c r="C404" s="298" t="str">
        <f>IF(LEN(A404)=0,"",INDEX('Smelter Reference List'!$C:$C,MATCH($A404,'Smelter Reference List'!$E:$E,0)))</f>
        <v/>
      </c>
      <c r="D404" s="292" t="str">
        <f ca="1">IF(ISERROR($S404),"",OFFSET('Smelter Reference List'!$C$4,$S404-4,0)&amp;"")</f>
        <v/>
      </c>
      <c r="E404" s="292" t="str">
        <f ca="1">IF(ISERROR($S404),"",OFFSET('Smelter Reference List'!$D$4,$S404-4,0)&amp;"")</f>
        <v/>
      </c>
      <c r="F404" s="292" t="str">
        <f ca="1">IF(ISERROR($S404),"",OFFSET('Smelter Reference List'!$E$4,$S404-4,0))</f>
        <v/>
      </c>
      <c r="G404" s="292" t="str">
        <f ca="1">IF(C404=$U$4,"Enter smelter details", IF(ISERROR($S404),"",OFFSET('Smelter Reference List'!$F$4,$S404-4,0)))</f>
        <v/>
      </c>
      <c r="H404" s="293" t="str">
        <f ca="1">IF(ISERROR($S404),"",OFFSET('Smelter Reference List'!$G$4,$S404-4,0))</f>
        <v/>
      </c>
      <c r="I404" s="294" t="str">
        <f ca="1">IF(ISERROR($S404),"",OFFSET('Smelter Reference List'!$H$4,$S404-4,0))</f>
        <v/>
      </c>
      <c r="J404" s="294" t="str">
        <f ca="1">IF(ISERROR($S404),"",OFFSET('Smelter Reference List'!$I$4,$S404-4,0))</f>
        <v/>
      </c>
      <c r="K404" s="295"/>
      <c r="L404" s="295"/>
      <c r="M404" s="295"/>
      <c r="N404" s="295"/>
      <c r="O404" s="295"/>
      <c r="P404" s="295"/>
      <c r="Q404" s="296"/>
      <c r="R404" s="227"/>
      <c r="S404" s="228" t="e">
        <f>IF(C404="",NA(),MATCH($B404&amp;$C404,'Smelter Reference List'!$J:$J,0))</f>
        <v>#N/A</v>
      </c>
      <c r="T404" s="229"/>
      <c r="U404" s="229">
        <f t="shared" ca="1" si="14"/>
        <v>0</v>
      </c>
      <c r="V404" s="229"/>
      <c r="W404" s="229"/>
      <c r="Y404" s="223" t="str">
        <f t="shared" si="15"/>
        <v/>
      </c>
    </row>
    <row r="405" spans="1:25" s="223" customFormat="1" ht="20.25">
      <c r="A405" s="291"/>
      <c r="B405" s="292" t="str">
        <f>IF(LEN(A405)=0,"",INDEX('Smelter Reference List'!$A:$A,MATCH($A405,'Smelter Reference List'!$E:$E,0)))</f>
        <v/>
      </c>
      <c r="C405" s="298" t="str">
        <f>IF(LEN(A405)=0,"",INDEX('Smelter Reference List'!$C:$C,MATCH($A405,'Smelter Reference List'!$E:$E,0)))</f>
        <v/>
      </c>
      <c r="D405" s="292" t="str">
        <f ca="1">IF(ISERROR($S405),"",OFFSET('Smelter Reference List'!$C$4,$S405-4,0)&amp;"")</f>
        <v/>
      </c>
      <c r="E405" s="292" t="str">
        <f ca="1">IF(ISERROR($S405),"",OFFSET('Smelter Reference List'!$D$4,$S405-4,0)&amp;"")</f>
        <v/>
      </c>
      <c r="F405" s="292" t="str">
        <f ca="1">IF(ISERROR($S405),"",OFFSET('Smelter Reference List'!$E$4,$S405-4,0))</f>
        <v/>
      </c>
      <c r="G405" s="292" t="str">
        <f ca="1">IF(C405=$U$4,"Enter smelter details", IF(ISERROR($S405),"",OFFSET('Smelter Reference List'!$F$4,$S405-4,0)))</f>
        <v/>
      </c>
      <c r="H405" s="293" t="str">
        <f ca="1">IF(ISERROR($S405),"",OFFSET('Smelter Reference List'!$G$4,$S405-4,0))</f>
        <v/>
      </c>
      <c r="I405" s="294" t="str">
        <f ca="1">IF(ISERROR($S405),"",OFFSET('Smelter Reference List'!$H$4,$S405-4,0))</f>
        <v/>
      </c>
      <c r="J405" s="294" t="str">
        <f ca="1">IF(ISERROR($S405),"",OFFSET('Smelter Reference List'!$I$4,$S405-4,0))</f>
        <v/>
      </c>
      <c r="K405" s="295"/>
      <c r="L405" s="295"/>
      <c r="M405" s="295"/>
      <c r="N405" s="295"/>
      <c r="O405" s="295"/>
      <c r="P405" s="295"/>
      <c r="Q405" s="296"/>
      <c r="R405" s="227"/>
      <c r="S405" s="228" t="e">
        <f>IF(C405="",NA(),MATCH($B405&amp;$C405,'Smelter Reference List'!$J:$J,0))</f>
        <v>#N/A</v>
      </c>
      <c r="T405" s="229"/>
      <c r="U405" s="229">
        <f t="shared" ca="1" si="14"/>
        <v>0</v>
      </c>
      <c r="V405" s="229"/>
      <c r="W405" s="229"/>
      <c r="Y405" s="223" t="str">
        <f t="shared" si="15"/>
        <v/>
      </c>
    </row>
    <row r="406" spans="1:25" s="223" customFormat="1" ht="20.25">
      <c r="A406" s="291"/>
      <c r="B406" s="292" t="str">
        <f>IF(LEN(A406)=0,"",INDEX('Smelter Reference List'!$A:$A,MATCH($A406,'Smelter Reference List'!$E:$E,0)))</f>
        <v/>
      </c>
      <c r="C406" s="298" t="str">
        <f>IF(LEN(A406)=0,"",INDEX('Smelter Reference List'!$C:$C,MATCH($A406,'Smelter Reference List'!$E:$E,0)))</f>
        <v/>
      </c>
      <c r="D406" s="292" t="str">
        <f ca="1">IF(ISERROR($S406),"",OFFSET('Smelter Reference List'!$C$4,$S406-4,0)&amp;"")</f>
        <v/>
      </c>
      <c r="E406" s="292" t="str">
        <f ca="1">IF(ISERROR($S406),"",OFFSET('Smelter Reference List'!$D$4,$S406-4,0)&amp;"")</f>
        <v/>
      </c>
      <c r="F406" s="292" t="str">
        <f ca="1">IF(ISERROR($S406),"",OFFSET('Smelter Reference List'!$E$4,$S406-4,0))</f>
        <v/>
      </c>
      <c r="G406" s="292" t="str">
        <f ca="1">IF(C406=$U$4,"Enter smelter details", IF(ISERROR($S406),"",OFFSET('Smelter Reference List'!$F$4,$S406-4,0)))</f>
        <v/>
      </c>
      <c r="H406" s="293" t="str">
        <f ca="1">IF(ISERROR($S406),"",OFFSET('Smelter Reference List'!$G$4,$S406-4,0))</f>
        <v/>
      </c>
      <c r="I406" s="294" t="str">
        <f ca="1">IF(ISERROR($S406),"",OFFSET('Smelter Reference List'!$H$4,$S406-4,0))</f>
        <v/>
      </c>
      <c r="J406" s="294" t="str">
        <f ca="1">IF(ISERROR($S406),"",OFFSET('Smelter Reference List'!$I$4,$S406-4,0))</f>
        <v/>
      </c>
      <c r="K406" s="295"/>
      <c r="L406" s="295"/>
      <c r="M406" s="295"/>
      <c r="N406" s="295"/>
      <c r="O406" s="295"/>
      <c r="P406" s="295"/>
      <c r="Q406" s="296"/>
      <c r="R406" s="227"/>
      <c r="S406" s="228" t="e">
        <f>IF(C406="",NA(),MATCH($B406&amp;$C406,'Smelter Reference List'!$J:$J,0))</f>
        <v>#N/A</v>
      </c>
      <c r="T406" s="229"/>
      <c r="U406" s="229">
        <f t="shared" ca="1" si="14"/>
        <v>0</v>
      </c>
      <c r="V406" s="229"/>
      <c r="W406" s="229"/>
      <c r="Y406" s="223" t="str">
        <f t="shared" si="15"/>
        <v/>
      </c>
    </row>
    <row r="407" spans="1:25" s="223" customFormat="1" ht="20.25">
      <c r="A407" s="291"/>
      <c r="B407" s="292" t="str">
        <f>IF(LEN(A407)=0,"",INDEX('Smelter Reference List'!$A:$A,MATCH($A407,'Smelter Reference List'!$E:$E,0)))</f>
        <v/>
      </c>
      <c r="C407" s="298" t="str">
        <f>IF(LEN(A407)=0,"",INDEX('Smelter Reference List'!$C:$C,MATCH($A407,'Smelter Reference List'!$E:$E,0)))</f>
        <v/>
      </c>
      <c r="D407" s="292" t="str">
        <f ca="1">IF(ISERROR($S407),"",OFFSET('Smelter Reference List'!$C$4,$S407-4,0)&amp;"")</f>
        <v/>
      </c>
      <c r="E407" s="292" t="str">
        <f ca="1">IF(ISERROR($S407),"",OFFSET('Smelter Reference List'!$D$4,$S407-4,0)&amp;"")</f>
        <v/>
      </c>
      <c r="F407" s="292" t="str">
        <f ca="1">IF(ISERROR($S407),"",OFFSET('Smelter Reference List'!$E$4,$S407-4,0))</f>
        <v/>
      </c>
      <c r="G407" s="292" t="str">
        <f ca="1">IF(C407=$U$4,"Enter smelter details", IF(ISERROR($S407),"",OFFSET('Smelter Reference List'!$F$4,$S407-4,0)))</f>
        <v/>
      </c>
      <c r="H407" s="293" t="str">
        <f ca="1">IF(ISERROR($S407),"",OFFSET('Smelter Reference List'!$G$4,$S407-4,0))</f>
        <v/>
      </c>
      <c r="I407" s="294" t="str">
        <f ca="1">IF(ISERROR($S407),"",OFFSET('Smelter Reference List'!$H$4,$S407-4,0))</f>
        <v/>
      </c>
      <c r="J407" s="294" t="str">
        <f ca="1">IF(ISERROR($S407),"",OFFSET('Smelter Reference List'!$I$4,$S407-4,0))</f>
        <v/>
      </c>
      <c r="K407" s="295"/>
      <c r="L407" s="295"/>
      <c r="M407" s="295"/>
      <c r="N407" s="295"/>
      <c r="O407" s="295"/>
      <c r="P407" s="295"/>
      <c r="Q407" s="296"/>
      <c r="R407" s="227"/>
      <c r="S407" s="228" t="e">
        <f>IF(C407="",NA(),MATCH($B407&amp;$C407,'Smelter Reference List'!$J:$J,0))</f>
        <v>#N/A</v>
      </c>
      <c r="T407" s="229"/>
      <c r="U407" s="229">
        <f t="shared" ca="1" si="14"/>
        <v>0</v>
      </c>
      <c r="V407" s="229"/>
      <c r="W407" s="229"/>
      <c r="Y407" s="223" t="str">
        <f t="shared" si="15"/>
        <v/>
      </c>
    </row>
    <row r="408" spans="1:25" s="223" customFormat="1" ht="20.25">
      <c r="A408" s="291"/>
      <c r="B408" s="292" t="str">
        <f>IF(LEN(A408)=0,"",INDEX('Smelter Reference List'!$A:$A,MATCH($A408,'Smelter Reference List'!$E:$E,0)))</f>
        <v/>
      </c>
      <c r="C408" s="298" t="str">
        <f>IF(LEN(A408)=0,"",INDEX('Smelter Reference List'!$C:$C,MATCH($A408,'Smelter Reference List'!$E:$E,0)))</f>
        <v/>
      </c>
      <c r="D408" s="292" t="str">
        <f ca="1">IF(ISERROR($S408),"",OFFSET('Smelter Reference List'!$C$4,$S408-4,0)&amp;"")</f>
        <v/>
      </c>
      <c r="E408" s="292" t="str">
        <f ca="1">IF(ISERROR($S408),"",OFFSET('Smelter Reference List'!$D$4,$S408-4,0)&amp;"")</f>
        <v/>
      </c>
      <c r="F408" s="292" t="str">
        <f ca="1">IF(ISERROR($S408),"",OFFSET('Smelter Reference List'!$E$4,$S408-4,0))</f>
        <v/>
      </c>
      <c r="G408" s="292" t="str">
        <f ca="1">IF(C408=$U$4,"Enter smelter details", IF(ISERROR($S408),"",OFFSET('Smelter Reference List'!$F$4,$S408-4,0)))</f>
        <v/>
      </c>
      <c r="H408" s="293" t="str">
        <f ca="1">IF(ISERROR($S408),"",OFFSET('Smelter Reference List'!$G$4,$S408-4,0))</f>
        <v/>
      </c>
      <c r="I408" s="294" t="str">
        <f ca="1">IF(ISERROR($S408),"",OFFSET('Smelter Reference List'!$H$4,$S408-4,0))</f>
        <v/>
      </c>
      <c r="J408" s="294" t="str">
        <f ca="1">IF(ISERROR($S408),"",OFFSET('Smelter Reference List'!$I$4,$S408-4,0))</f>
        <v/>
      </c>
      <c r="K408" s="295"/>
      <c r="L408" s="295"/>
      <c r="M408" s="295"/>
      <c r="N408" s="295"/>
      <c r="O408" s="295"/>
      <c r="P408" s="295"/>
      <c r="Q408" s="296"/>
      <c r="R408" s="227"/>
      <c r="S408" s="228" t="e">
        <f>IF(C408="",NA(),MATCH($B408&amp;$C408,'Smelter Reference List'!$J:$J,0))</f>
        <v>#N/A</v>
      </c>
      <c r="T408" s="229"/>
      <c r="U408" s="229">
        <f t="shared" ca="1" si="14"/>
        <v>0</v>
      </c>
      <c r="V408" s="229"/>
      <c r="W408" s="229"/>
      <c r="Y408" s="223" t="str">
        <f t="shared" si="15"/>
        <v/>
      </c>
    </row>
    <row r="409" spans="1:25" s="223" customFormat="1" ht="20.25">
      <c r="A409" s="291"/>
      <c r="B409" s="292" t="str">
        <f>IF(LEN(A409)=0,"",INDEX('Smelter Reference List'!$A:$A,MATCH($A409,'Smelter Reference List'!$E:$E,0)))</f>
        <v/>
      </c>
      <c r="C409" s="298" t="str">
        <f>IF(LEN(A409)=0,"",INDEX('Smelter Reference List'!$C:$C,MATCH($A409,'Smelter Reference List'!$E:$E,0)))</f>
        <v/>
      </c>
      <c r="D409" s="292" t="str">
        <f ca="1">IF(ISERROR($S409),"",OFFSET('Smelter Reference List'!$C$4,$S409-4,0)&amp;"")</f>
        <v/>
      </c>
      <c r="E409" s="292" t="str">
        <f ca="1">IF(ISERROR($S409),"",OFFSET('Smelter Reference List'!$D$4,$S409-4,0)&amp;"")</f>
        <v/>
      </c>
      <c r="F409" s="292" t="str">
        <f ca="1">IF(ISERROR($S409),"",OFFSET('Smelter Reference List'!$E$4,$S409-4,0))</f>
        <v/>
      </c>
      <c r="G409" s="292" t="str">
        <f ca="1">IF(C409=$U$4,"Enter smelter details", IF(ISERROR($S409),"",OFFSET('Smelter Reference List'!$F$4,$S409-4,0)))</f>
        <v/>
      </c>
      <c r="H409" s="293" t="str">
        <f ca="1">IF(ISERROR($S409),"",OFFSET('Smelter Reference List'!$G$4,$S409-4,0))</f>
        <v/>
      </c>
      <c r="I409" s="294" t="str">
        <f ca="1">IF(ISERROR($S409),"",OFFSET('Smelter Reference List'!$H$4,$S409-4,0))</f>
        <v/>
      </c>
      <c r="J409" s="294" t="str">
        <f ca="1">IF(ISERROR($S409),"",OFFSET('Smelter Reference List'!$I$4,$S409-4,0))</f>
        <v/>
      </c>
      <c r="K409" s="295"/>
      <c r="L409" s="295"/>
      <c r="M409" s="295"/>
      <c r="N409" s="295"/>
      <c r="O409" s="295"/>
      <c r="P409" s="295"/>
      <c r="Q409" s="296"/>
      <c r="R409" s="227"/>
      <c r="S409" s="228" t="e">
        <f>IF(C409="",NA(),MATCH($B409&amp;$C409,'Smelter Reference List'!$J:$J,0))</f>
        <v>#N/A</v>
      </c>
      <c r="T409" s="229"/>
      <c r="U409" s="229">
        <f t="shared" ca="1" si="14"/>
        <v>0</v>
      </c>
      <c r="V409" s="229"/>
      <c r="W409" s="229"/>
      <c r="Y409" s="223" t="str">
        <f t="shared" si="15"/>
        <v/>
      </c>
    </row>
    <row r="410" spans="1:25" s="223" customFormat="1" ht="20.25">
      <c r="A410" s="291"/>
      <c r="B410" s="292" t="str">
        <f>IF(LEN(A410)=0,"",INDEX('Smelter Reference List'!$A:$A,MATCH($A410,'Smelter Reference List'!$E:$E,0)))</f>
        <v/>
      </c>
      <c r="C410" s="298" t="str">
        <f>IF(LEN(A410)=0,"",INDEX('Smelter Reference List'!$C:$C,MATCH($A410,'Smelter Reference List'!$E:$E,0)))</f>
        <v/>
      </c>
      <c r="D410" s="292" t="str">
        <f ca="1">IF(ISERROR($S410),"",OFFSET('Smelter Reference List'!$C$4,$S410-4,0)&amp;"")</f>
        <v/>
      </c>
      <c r="E410" s="292" t="str">
        <f ca="1">IF(ISERROR($S410),"",OFFSET('Smelter Reference List'!$D$4,$S410-4,0)&amp;"")</f>
        <v/>
      </c>
      <c r="F410" s="292" t="str">
        <f ca="1">IF(ISERROR($S410),"",OFFSET('Smelter Reference List'!$E$4,$S410-4,0))</f>
        <v/>
      </c>
      <c r="G410" s="292" t="str">
        <f ca="1">IF(C410=$U$4,"Enter smelter details", IF(ISERROR($S410),"",OFFSET('Smelter Reference List'!$F$4,$S410-4,0)))</f>
        <v/>
      </c>
      <c r="H410" s="293" t="str">
        <f ca="1">IF(ISERROR($S410),"",OFFSET('Smelter Reference List'!$G$4,$S410-4,0))</f>
        <v/>
      </c>
      <c r="I410" s="294" t="str">
        <f ca="1">IF(ISERROR($S410),"",OFFSET('Smelter Reference List'!$H$4,$S410-4,0))</f>
        <v/>
      </c>
      <c r="J410" s="294" t="str">
        <f ca="1">IF(ISERROR($S410),"",OFFSET('Smelter Reference List'!$I$4,$S410-4,0))</f>
        <v/>
      </c>
      <c r="K410" s="295"/>
      <c r="L410" s="295"/>
      <c r="M410" s="295"/>
      <c r="N410" s="295"/>
      <c r="O410" s="295"/>
      <c r="P410" s="295"/>
      <c r="Q410" s="296"/>
      <c r="R410" s="227"/>
      <c r="S410" s="228" t="e">
        <f>IF(C410="",NA(),MATCH($B410&amp;$C410,'Smelter Reference List'!$J:$J,0))</f>
        <v>#N/A</v>
      </c>
      <c r="T410" s="229"/>
      <c r="U410" s="229">
        <f t="shared" ca="1" si="14"/>
        <v>0</v>
      </c>
      <c r="V410" s="229"/>
      <c r="W410" s="229"/>
      <c r="Y410" s="223" t="str">
        <f t="shared" si="15"/>
        <v/>
      </c>
    </row>
    <row r="411" spans="1:25" s="223" customFormat="1" ht="20.25">
      <c r="A411" s="291"/>
      <c r="B411" s="292" t="str">
        <f>IF(LEN(A411)=0,"",INDEX('Smelter Reference List'!$A:$A,MATCH($A411,'Smelter Reference List'!$E:$E,0)))</f>
        <v/>
      </c>
      <c r="C411" s="298" t="str">
        <f>IF(LEN(A411)=0,"",INDEX('Smelter Reference List'!$C:$C,MATCH($A411,'Smelter Reference List'!$E:$E,0)))</f>
        <v/>
      </c>
      <c r="D411" s="292" t="str">
        <f ca="1">IF(ISERROR($S411),"",OFFSET('Smelter Reference List'!$C$4,$S411-4,0)&amp;"")</f>
        <v/>
      </c>
      <c r="E411" s="292" t="str">
        <f ca="1">IF(ISERROR($S411),"",OFFSET('Smelter Reference List'!$D$4,$S411-4,0)&amp;"")</f>
        <v/>
      </c>
      <c r="F411" s="292" t="str">
        <f ca="1">IF(ISERROR($S411),"",OFFSET('Smelter Reference List'!$E$4,$S411-4,0))</f>
        <v/>
      </c>
      <c r="G411" s="292" t="str">
        <f ca="1">IF(C411=$U$4,"Enter smelter details", IF(ISERROR($S411),"",OFFSET('Smelter Reference List'!$F$4,$S411-4,0)))</f>
        <v/>
      </c>
      <c r="H411" s="293" t="str">
        <f ca="1">IF(ISERROR($S411),"",OFFSET('Smelter Reference List'!$G$4,$S411-4,0))</f>
        <v/>
      </c>
      <c r="I411" s="294" t="str">
        <f ca="1">IF(ISERROR($S411),"",OFFSET('Smelter Reference List'!$H$4,$S411-4,0))</f>
        <v/>
      </c>
      <c r="J411" s="294" t="str">
        <f ca="1">IF(ISERROR($S411),"",OFFSET('Smelter Reference List'!$I$4,$S411-4,0))</f>
        <v/>
      </c>
      <c r="K411" s="295"/>
      <c r="L411" s="295"/>
      <c r="M411" s="295"/>
      <c r="N411" s="295"/>
      <c r="O411" s="295"/>
      <c r="P411" s="295"/>
      <c r="Q411" s="296"/>
      <c r="R411" s="227"/>
      <c r="S411" s="228" t="e">
        <f>IF(C411="",NA(),MATCH($B411&amp;$C411,'Smelter Reference List'!$J:$J,0))</f>
        <v>#N/A</v>
      </c>
      <c r="T411" s="229"/>
      <c r="U411" s="229">
        <f t="shared" ca="1" si="14"/>
        <v>0</v>
      </c>
      <c r="V411" s="229"/>
      <c r="W411" s="229"/>
      <c r="Y411" s="223" t="str">
        <f t="shared" si="15"/>
        <v/>
      </c>
    </row>
    <row r="412" spans="1:25" s="223" customFormat="1" ht="20.25">
      <c r="A412" s="291"/>
      <c r="B412" s="292" t="str">
        <f>IF(LEN(A412)=0,"",INDEX('Smelter Reference List'!$A:$A,MATCH($A412,'Smelter Reference List'!$E:$E,0)))</f>
        <v/>
      </c>
      <c r="C412" s="298" t="str">
        <f>IF(LEN(A412)=0,"",INDEX('Smelter Reference List'!$C:$C,MATCH($A412,'Smelter Reference List'!$E:$E,0)))</f>
        <v/>
      </c>
      <c r="D412" s="292" t="str">
        <f ca="1">IF(ISERROR($S412),"",OFFSET('Smelter Reference List'!$C$4,$S412-4,0)&amp;"")</f>
        <v/>
      </c>
      <c r="E412" s="292" t="str">
        <f ca="1">IF(ISERROR($S412),"",OFFSET('Smelter Reference List'!$D$4,$S412-4,0)&amp;"")</f>
        <v/>
      </c>
      <c r="F412" s="292" t="str">
        <f ca="1">IF(ISERROR($S412),"",OFFSET('Smelter Reference List'!$E$4,$S412-4,0))</f>
        <v/>
      </c>
      <c r="G412" s="292" t="str">
        <f ca="1">IF(C412=$U$4,"Enter smelter details", IF(ISERROR($S412),"",OFFSET('Smelter Reference List'!$F$4,$S412-4,0)))</f>
        <v/>
      </c>
      <c r="H412" s="293" t="str">
        <f ca="1">IF(ISERROR($S412),"",OFFSET('Smelter Reference List'!$G$4,$S412-4,0))</f>
        <v/>
      </c>
      <c r="I412" s="294" t="str">
        <f ca="1">IF(ISERROR($S412),"",OFFSET('Smelter Reference List'!$H$4,$S412-4,0))</f>
        <v/>
      </c>
      <c r="J412" s="294" t="str">
        <f ca="1">IF(ISERROR($S412),"",OFFSET('Smelter Reference List'!$I$4,$S412-4,0))</f>
        <v/>
      </c>
      <c r="K412" s="295"/>
      <c r="L412" s="295"/>
      <c r="M412" s="295"/>
      <c r="N412" s="295"/>
      <c r="O412" s="295"/>
      <c r="P412" s="295"/>
      <c r="Q412" s="296"/>
      <c r="R412" s="227"/>
      <c r="S412" s="228" t="e">
        <f>IF(C412="",NA(),MATCH($B412&amp;$C412,'Smelter Reference List'!$J:$J,0))</f>
        <v>#N/A</v>
      </c>
      <c r="T412" s="229"/>
      <c r="U412" s="229">
        <f t="shared" ca="1" si="14"/>
        <v>0</v>
      </c>
      <c r="V412" s="229"/>
      <c r="W412" s="229"/>
      <c r="Y412" s="223" t="str">
        <f t="shared" si="15"/>
        <v/>
      </c>
    </row>
    <row r="413" spans="1:25" s="223" customFormat="1" ht="20.25">
      <c r="A413" s="291"/>
      <c r="B413" s="292" t="str">
        <f>IF(LEN(A413)=0,"",INDEX('Smelter Reference List'!$A:$A,MATCH($A413,'Smelter Reference List'!$E:$E,0)))</f>
        <v/>
      </c>
      <c r="C413" s="298" t="str">
        <f>IF(LEN(A413)=0,"",INDEX('Smelter Reference List'!$C:$C,MATCH($A413,'Smelter Reference List'!$E:$E,0)))</f>
        <v/>
      </c>
      <c r="D413" s="292" t="str">
        <f ca="1">IF(ISERROR($S413),"",OFFSET('Smelter Reference List'!$C$4,$S413-4,0)&amp;"")</f>
        <v/>
      </c>
      <c r="E413" s="292" t="str">
        <f ca="1">IF(ISERROR($S413),"",OFFSET('Smelter Reference List'!$D$4,$S413-4,0)&amp;"")</f>
        <v/>
      </c>
      <c r="F413" s="292" t="str">
        <f ca="1">IF(ISERROR($S413),"",OFFSET('Smelter Reference List'!$E$4,$S413-4,0))</f>
        <v/>
      </c>
      <c r="G413" s="292" t="str">
        <f ca="1">IF(C413=$U$4,"Enter smelter details", IF(ISERROR($S413),"",OFFSET('Smelter Reference List'!$F$4,$S413-4,0)))</f>
        <v/>
      </c>
      <c r="H413" s="293" t="str">
        <f ca="1">IF(ISERROR($S413),"",OFFSET('Smelter Reference List'!$G$4,$S413-4,0))</f>
        <v/>
      </c>
      <c r="I413" s="294" t="str">
        <f ca="1">IF(ISERROR($S413),"",OFFSET('Smelter Reference List'!$H$4,$S413-4,0))</f>
        <v/>
      </c>
      <c r="J413" s="294" t="str">
        <f ca="1">IF(ISERROR($S413),"",OFFSET('Smelter Reference List'!$I$4,$S413-4,0))</f>
        <v/>
      </c>
      <c r="K413" s="295"/>
      <c r="L413" s="295"/>
      <c r="M413" s="295"/>
      <c r="N413" s="295"/>
      <c r="O413" s="295"/>
      <c r="P413" s="295"/>
      <c r="Q413" s="296"/>
      <c r="R413" s="227"/>
      <c r="S413" s="228" t="e">
        <f>IF(C413="",NA(),MATCH($B413&amp;$C413,'Smelter Reference List'!$J:$J,0))</f>
        <v>#N/A</v>
      </c>
      <c r="T413" s="229"/>
      <c r="U413" s="229">
        <f t="shared" ca="1" si="14"/>
        <v>0</v>
      </c>
      <c r="V413" s="229"/>
      <c r="W413" s="229"/>
      <c r="Y413" s="223" t="str">
        <f t="shared" si="15"/>
        <v/>
      </c>
    </row>
    <row r="414" spans="1:25" s="223" customFormat="1" ht="20.25">
      <c r="A414" s="291"/>
      <c r="B414" s="292" t="str">
        <f>IF(LEN(A414)=0,"",INDEX('Smelter Reference List'!$A:$A,MATCH($A414,'Smelter Reference List'!$E:$E,0)))</f>
        <v/>
      </c>
      <c r="C414" s="298" t="str">
        <f>IF(LEN(A414)=0,"",INDEX('Smelter Reference List'!$C:$C,MATCH($A414,'Smelter Reference List'!$E:$E,0)))</f>
        <v/>
      </c>
      <c r="D414" s="292" t="str">
        <f ca="1">IF(ISERROR($S414),"",OFFSET('Smelter Reference List'!$C$4,$S414-4,0)&amp;"")</f>
        <v/>
      </c>
      <c r="E414" s="292" t="str">
        <f ca="1">IF(ISERROR($S414),"",OFFSET('Smelter Reference List'!$D$4,$S414-4,0)&amp;"")</f>
        <v/>
      </c>
      <c r="F414" s="292" t="str">
        <f ca="1">IF(ISERROR($S414),"",OFFSET('Smelter Reference List'!$E$4,$S414-4,0))</f>
        <v/>
      </c>
      <c r="G414" s="292" t="str">
        <f ca="1">IF(C414=$U$4,"Enter smelter details", IF(ISERROR($S414),"",OFFSET('Smelter Reference List'!$F$4,$S414-4,0)))</f>
        <v/>
      </c>
      <c r="H414" s="293" t="str">
        <f ca="1">IF(ISERROR($S414),"",OFFSET('Smelter Reference List'!$G$4,$S414-4,0))</f>
        <v/>
      </c>
      <c r="I414" s="294" t="str">
        <f ca="1">IF(ISERROR($S414),"",OFFSET('Smelter Reference List'!$H$4,$S414-4,0))</f>
        <v/>
      </c>
      <c r="J414" s="294" t="str">
        <f ca="1">IF(ISERROR($S414),"",OFFSET('Smelter Reference List'!$I$4,$S414-4,0))</f>
        <v/>
      </c>
      <c r="K414" s="295"/>
      <c r="L414" s="295"/>
      <c r="M414" s="295"/>
      <c r="N414" s="295"/>
      <c r="O414" s="295"/>
      <c r="P414" s="295"/>
      <c r="Q414" s="296"/>
      <c r="R414" s="227"/>
      <c r="S414" s="228" t="e">
        <f>IF(C414="",NA(),MATCH($B414&amp;$C414,'Smelter Reference List'!$J:$J,0))</f>
        <v>#N/A</v>
      </c>
      <c r="T414" s="229"/>
      <c r="U414" s="229">
        <f t="shared" ca="1" si="14"/>
        <v>0</v>
      </c>
      <c r="V414" s="229"/>
      <c r="W414" s="229"/>
      <c r="Y414" s="223" t="str">
        <f t="shared" si="15"/>
        <v/>
      </c>
    </row>
    <row r="415" spans="1:25" s="223" customFormat="1" ht="20.25">
      <c r="A415" s="291"/>
      <c r="B415" s="292" t="str">
        <f>IF(LEN(A415)=0,"",INDEX('Smelter Reference List'!$A:$A,MATCH($A415,'Smelter Reference List'!$E:$E,0)))</f>
        <v/>
      </c>
      <c r="C415" s="298" t="str">
        <f>IF(LEN(A415)=0,"",INDEX('Smelter Reference List'!$C:$C,MATCH($A415,'Smelter Reference List'!$E:$E,0)))</f>
        <v/>
      </c>
      <c r="D415" s="292" t="str">
        <f ca="1">IF(ISERROR($S415),"",OFFSET('Smelter Reference List'!$C$4,$S415-4,0)&amp;"")</f>
        <v/>
      </c>
      <c r="E415" s="292" t="str">
        <f ca="1">IF(ISERROR($S415),"",OFFSET('Smelter Reference List'!$D$4,$S415-4,0)&amp;"")</f>
        <v/>
      </c>
      <c r="F415" s="292" t="str">
        <f ca="1">IF(ISERROR($S415),"",OFFSET('Smelter Reference List'!$E$4,$S415-4,0))</f>
        <v/>
      </c>
      <c r="G415" s="292" t="str">
        <f ca="1">IF(C415=$U$4,"Enter smelter details", IF(ISERROR($S415),"",OFFSET('Smelter Reference List'!$F$4,$S415-4,0)))</f>
        <v/>
      </c>
      <c r="H415" s="293" t="str">
        <f ca="1">IF(ISERROR($S415),"",OFFSET('Smelter Reference List'!$G$4,$S415-4,0))</f>
        <v/>
      </c>
      <c r="I415" s="294" t="str">
        <f ca="1">IF(ISERROR($S415),"",OFFSET('Smelter Reference List'!$H$4,$S415-4,0))</f>
        <v/>
      </c>
      <c r="J415" s="294" t="str">
        <f ca="1">IF(ISERROR($S415),"",OFFSET('Smelter Reference List'!$I$4,$S415-4,0))</f>
        <v/>
      </c>
      <c r="K415" s="295"/>
      <c r="L415" s="295"/>
      <c r="M415" s="295"/>
      <c r="N415" s="295"/>
      <c r="O415" s="295"/>
      <c r="P415" s="295"/>
      <c r="Q415" s="296"/>
      <c r="R415" s="227"/>
      <c r="S415" s="228" t="e">
        <f>IF(C415="",NA(),MATCH($B415&amp;$C415,'Smelter Reference List'!$J:$J,0))</f>
        <v>#N/A</v>
      </c>
      <c r="T415" s="229"/>
      <c r="U415" s="229">
        <f t="shared" ca="1" si="14"/>
        <v>0</v>
      </c>
      <c r="V415" s="229"/>
      <c r="W415" s="229"/>
      <c r="Y415" s="223" t="str">
        <f t="shared" si="15"/>
        <v/>
      </c>
    </row>
    <row r="416" spans="1:25" s="223" customFormat="1" ht="20.25">
      <c r="A416" s="291"/>
      <c r="B416" s="292" t="str">
        <f>IF(LEN(A416)=0,"",INDEX('Smelter Reference List'!$A:$A,MATCH($A416,'Smelter Reference List'!$E:$E,0)))</f>
        <v/>
      </c>
      <c r="C416" s="298" t="str">
        <f>IF(LEN(A416)=0,"",INDEX('Smelter Reference List'!$C:$C,MATCH($A416,'Smelter Reference List'!$E:$E,0)))</f>
        <v/>
      </c>
      <c r="D416" s="292" t="str">
        <f ca="1">IF(ISERROR($S416),"",OFFSET('Smelter Reference List'!$C$4,$S416-4,0)&amp;"")</f>
        <v/>
      </c>
      <c r="E416" s="292" t="str">
        <f ca="1">IF(ISERROR($S416),"",OFFSET('Smelter Reference List'!$D$4,$S416-4,0)&amp;"")</f>
        <v/>
      </c>
      <c r="F416" s="292" t="str">
        <f ca="1">IF(ISERROR($S416),"",OFFSET('Smelter Reference List'!$E$4,$S416-4,0))</f>
        <v/>
      </c>
      <c r="G416" s="292" t="str">
        <f ca="1">IF(C416=$U$4,"Enter smelter details", IF(ISERROR($S416),"",OFFSET('Smelter Reference List'!$F$4,$S416-4,0)))</f>
        <v/>
      </c>
      <c r="H416" s="293" t="str">
        <f ca="1">IF(ISERROR($S416),"",OFFSET('Smelter Reference List'!$G$4,$S416-4,0))</f>
        <v/>
      </c>
      <c r="I416" s="294" t="str">
        <f ca="1">IF(ISERROR($S416),"",OFFSET('Smelter Reference List'!$H$4,$S416-4,0))</f>
        <v/>
      </c>
      <c r="J416" s="294" t="str">
        <f ca="1">IF(ISERROR($S416),"",OFFSET('Smelter Reference List'!$I$4,$S416-4,0))</f>
        <v/>
      </c>
      <c r="K416" s="295"/>
      <c r="L416" s="295"/>
      <c r="M416" s="295"/>
      <c r="N416" s="295"/>
      <c r="O416" s="295"/>
      <c r="P416" s="295"/>
      <c r="Q416" s="296"/>
      <c r="R416" s="227"/>
      <c r="S416" s="228" t="e">
        <f>IF(C416="",NA(),MATCH($B416&amp;$C416,'Smelter Reference List'!$J:$J,0))</f>
        <v>#N/A</v>
      </c>
      <c r="T416" s="229"/>
      <c r="U416" s="229">
        <f t="shared" ca="1" si="14"/>
        <v>0</v>
      </c>
      <c r="V416" s="229"/>
      <c r="W416" s="229"/>
      <c r="Y416" s="223" t="str">
        <f t="shared" si="15"/>
        <v/>
      </c>
    </row>
    <row r="417" spans="1:25" s="223" customFormat="1" ht="20.25">
      <c r="A417" s="291"/>
      <c r="B417" s="292" t="str">
        <f>IF(LEN(A417)=0,"",INDEX('Smelter Reference List'!$A:$A,MATCH($A417,'Smelter Reference List'!$E:$E,0)))</f>
        <v/>
      </c>
      <c r="C417" s="298" t="str">
        <f>IF(LEN(A417)=0,"",INDEX('Smelter Reference List'!$C:$C,MATCH($A417,'Smelter Reference List'!$E:$E,0)))</f>
        <v/>
      </c>
      <c r="D417" s="292" t="str">
        <f ca="1">IF(ISERROR($S417),"",OFFSET('Smelter Reference List'!$C$4,$S417-4,0)&amp;"")</f>
        <v/>
      </c>
      <c r="E417" s="292" t="str">
        <f ca="1">IF(ISERROR($S417),"",OFFSET('Smelter Reference List'!$D$4,$S417-4,0)&amp;"")</f>
        <v/>
      </c>
      <c r="F417" s="292" t="str">
        <f ca="1">IF(ISERROR($S417),"",OFFSET('Smelter Reference List'!$E$4,$S417-4,0))</f>
        <v/>
      </c>
      <c r="G417" s="292" t="str">
        <f ca="1">IF(C417=$U$4,"Enter smelter details", IF(ISERROR($S417),"",OFFSET('Smelter Reference List'!$F$4,$S417-4,0)))</f>
        <v/>
      </c>
      <c r="H417" s="293" t="str">
        <f ca="1">IF(ISERROR($S417),"",OFFSET('Smelter Reference List'!$G$4,$S417-4,0))</f>
        <v/>
      </c>
      <c r="I417" s="294" t="str">
        <f ca="1">IF(ISERROR($S417),"",OFFSET('Smelter Reference List'!$H$4,$S417-4,0))</f>
        <v/>
      </c>
      <c r="J417" s="294" t="str">
        <f ca="1">IF(ISERROR($S417),"",OFFSET('Smelter Reference List'!$I$4,$S417-4,0))</f>
        <v/>
      </c>
      <c r="K417" s="295"/>
      <c r="L417" s="295"/>
      <c r="M417" s="295"/>
      <c r="N417" s="295"/>
      <c r="O417" s="295"/>
      <c r="P417" s="295"/>
      <c r="Q417" s="296"/>
      <c r="R417" s="227"/>
      <c r="S417" s="228" t="e">
        <f>IF(C417="",NA(),MATCH($B417&amp;$C417,'Smelter Reference List'!$J:$J,0))</f>
        <v>#N/A</v>
      </c>
      <c r="T417" s="229"/>
      <c r="U417" s="229">
        <f t="shared" ca="1" si="14"/>
        <v>0</v>
      </c>
      <c r="V417" s="229"/>
      <c r="W417" s="229"/>
      <c r="Y417" s="223" t="str">
        <f t="shared" si="15"/>
        <v/>
      </c>
    </row>
    <row r="418" spans="1:25" s="223" customFormat="1" ht="20.25">
      <c r="A418" s="291"/>
      <c r="B418" s="292" t="str">
        <f>IF(LEN(A418)=0,"",INDEX('Smelter Reference List'!$A:$A,MATCH($A418,'Smelter Reference List'!$E:$E,0)))</f>
        <v/>
      </c>
      <c r="C418" s="298" t="str">
        <f>IF(LEN(A418)=0,"",INDEX('Smelter Reference List'!$C:$C,MATCH($A418,'Smelter Reference List'!$E:$E,0)))</f>
        <v/>
      </c>
      <c r="D418" s="292" t="str">
        <f ca="1">IF(ISERROR($S418),"",OFFSET('Smelter Reference List'!$C$4,$S418-4,0)&amp;"")</f>
        <v/>
      </c>
      <c r="E418" s="292" t="str">
        <f ca="1">IF(ISERROR($S418),"",OFFSET('Smelter Reference List'!$D$4,$S418-4,0)&amp;"")</f>
        <v/>
      </c>
      <c r="F418" s="292" t="str">
        <f ca="1">IF(ISERROR($S418),"",OFFSET('Smelter Reference List'!$E$4,$S418-4,0))</f>
        <v/>
      </c>
      <c r="G418" s="292" t="str">
        <f ca="1">IF(C418=$U$4,"Enter smelter details", IF(ISERROR($S418),"",OFFSET('Smelter Reference List'!$F$4,$S418-4,0)))</f>
        <v/>
      </c>
      <c r="H418" s="293" t="str">
        <f ca="1">IF(ISERROR($S418),"",OFFSET('Smelter Reference List'!$G$4,$S418-4,0))</f>
        <v/>
      </c>
      <c r="I418" s="294" t="str">
        <f ca="1">IF(ISERROR($S418),"",OFFSET('Smelter Reference List'!$H$4,$S418-4,0))</f>
        <v/>
      </c>
      <c r="J418" s="294" t="str">
        <f ca="1">IF(ISERROR($S418),"",OFFSET('Smelter Reference List'!$I$4,$S418-4,0))</f>
        <v/>
      </c>
      <c r="K418" s="295"/>
      <c r="L418" s="295"/>
      <c r="M418" s="295"/>
      <c r="N418" s="295"/>
      <c r="O418" s="295"/>
      <c r="P418" s="295"/>
      <c r="Q418" s="296"/>
      <c r="R418" s="227"/>
      <c r="S418" s="228" t="e">
        <f>IF(C418="",NA(),MATCH($B418&amp;$C418,'Smelter Reference List'!$J:$J,0))</f>
        <v>#N/A</v>
      </c>
      <c r="T418" s="229"/>
      <c r="U418" s="229">
        <f t="shared" ca="1" si="14"/>
        <v>0</v>
      </c>
      <c r="V418" s="229"/>
      <c r="W418" s="229"/>
      <c r="Y418" s="223" t="str">
        <f t="shared" si="15"/>
        <v/>
      </c>
    </row>
    <row r="419" spans="1:25" s="223" customFormat="1" ht="20.25">
      <c r="A419" s="291"/>
      <c r="B419" s="292" t="str">
        <f>IF(LEN(A419)=0,"",INDEX('Smelter Reference List'!$A:$A,MATCH($A419,'Smelter Reference List'!$E:$E,0)))</f>
        <v/>
      </c>
      <c r="C419" s="298" t="str">
        <f>IF(LEN(A419)=0,"",INDEX('Smelter Reference List'!$C:$C,MATCH($A419,'Smelter Reference List'!$E:$E,0)))</f>
        <v/>
      </c>
      <c r="D419" s="292" t="str">
        <f ca="1">IF(ISERROR($S419),"",OFFSET('Smelter Reference List'!$C$4,$S419-4,0)&amp;"")</f>
        <v/>
      </c>
      <c r="E419" s="292" t="str">
        <f ca="1">IF(ISERROR($S419),"",OFFSET('Smelter Reference List'!$D$4,$S419-4,0)&amp;"")</f>
        <v/>
      </c>
      <c r="F419" s="292" t="str">
        <f ca="1">IF(ISERROR($S419),"",OFFSET('Smelter Reference List'!$E$4,$S419-4,0))</f>
        <v/>
      </c>
      <c r="G419" s="292" t="str">
        <f ca="1">IF(C419=$U$4,"Enter smelter details", IF(ISERROR($S419),"",OFFSET('Smelter Reference List'!$F$4,$S419-4,0)))</f>
        <v/>
      </c>
      <c r="H419" s="293" t="str">
        <f ca="1">IF(ISERROR($S419),"",OFFSET('Smelter Reference List'!$G$4,$S419-4,0))</f>
        <v/>
      </c>
      <c r="I419" s="294" t="str">
        <f ca="1">IF(ISERROR($S419),"",OFFSET('Smelter Reference List'!$H$4,$S419-4,0))</f>
        <v/>
      </c>
      <c r="J419" s="294" t="str">
        <f ca="1">IF(ISERROR($S419),"",OFFSET('Smelter Reference List'!$I$4,$S419-4,0))</f>
        <v/>
      </c>
      <c r="K419" s="295"/>
      <c r="L419" s="295"/>
      <c r="M419" s="295"/>
      <c r="N419" s="295"/>
      <c r="O419" s="295"/>
      <c r="P419" s="295"/>
      <c r="Q419" s="296"/>
      <c r="R419" s="227"/>
      <c r="S419" s="228" t="e">
        <f>IF(C419="",NA(),MATCH($B419&amp;$C419,'Smelter Reference List'!$J:$J,0))</f>
        <v>#N/A</v>
      </c>
      <c r="T419" s="229"/>
      <c r="U419" s="229">
        <f t="shared" ca="1" si="14"/>
        <v>0</v>
      </c>
      <c r="V419" s="229"/>
      <c r="W419" s="229"/>
      <c r="Y419" s="223" t="str">
        <f t="shared" si="15"/>
        <v/>
      </c>
    </row>
    <row r="420" spans="1:25" s="223" customFormat="1" ht="20.25">
      <c r="A420" s="291"/>
      <c r="B420" s="292" t="str">
        <f>IF(LEN(A420)=0,"",INDEX('Smelter Reference List'!$A:$A,MATCH($A420,'Smelter Reference List'!$E:$E,0)))</f>
        <v/>
      </c>
      <c r="C420" s="298" t="str">
        <f>IF(LEN(A420)=0,"",INDEX('Smelter Reference List'!$C:$C,MATCH($A420,'Smelter Reference List'!$E:$E,0)))</f>
        <v/>
      </c>
      <c r="D420" s="292" t="str">
        <f ca="1">IF(ISERROR($S420),"",OFFSET('Smelter Reference List'!$C$4,$S420-4,0)&amp;"")</f>
        <v/>
      </c>
      <c r="E420" s="292" t="str">
        <f ca="1">IF(ISERROR($S420),"",OFFSET('Smelter Reference List'!$D$4,$S420-4,0)&amp;"")</f>
        <v/>
      </c>
      <c r="F420" s="292" t="str">
        <f ca="1">IF(ISERROR($S420),"",OFFSET('Smelter Reference List'!$E$4,$S420-4,0))</f>
        <v/>
      </c>
      <c r="G420" s="292" t="str">
        <f ca="1">IF(C420=$U$4,"Enter smelter details", IF(ISERROR($S420),"",OFFSET('Smelter Reference List'!$F$4,$S420-4,0)))</f>
        <v/>
      </c>
      <c r="H420" s="293" t="str">
        <f ca="1">IF(ISERROR($S420),"",OFFSET('Smelter Reference List'!$G$4,$S420-4,0))</f>
        <v/>
      </c>
      <c r="I420" s="294" t="str">
        <f ca="1">IF(ISERROR($S420),"",OFFSET('Smelter Reference List'!$H$4,$S420-4,0))</f>
        <v/>
      </c>
      <c r="J420" s="294" t="str">
        <f ca="1">IF(ISERROR($S420),"",OFFSET('Smelter Reference List'!$I$4,$S420-4,0))</f>
        <v/>
      </c>
      <c r="K420" s="295"/>
      <c r="L420" s="295"/>
      <c r="M420" s="295"/>
      <c r="N420" s="295"/>
      <c r="O420" s="295"/>
      <c r="P420" s="295"/>
      <c r="Q420" s="296"/>
      <c r="R420" s="227"/>
      <c r="S420" s="228" t="e">
        <f>IF(C420="",NA(),MATCH($B420&amp;$C420,'Smelter Reference List'!$J:$J,0))</f>
        <v>#N/A</v>
      </c>
      <c r="T420" s="229"/>
      <c r="U420" s="229">
        <f t="shared" ca="1" si="14"/>
        <v>0</v>
      </c>
      <c r="V420" s="229"/>
      <c r="W420" s="229"/>
      <c r="Y420" s="223" t="str">
        <f t="shared" si="15"/>
        <v/>
      </c>
    </row>
    <row r="421" spans="1:25" s="223" customFormat="1" ht="20.25">
      <c r="A421" s="291"/>
      <c r="B421" s="292" t="str">
        <f>IF(LEN(A421)=0,"",INDEX('Smelter Reference List'!$A:$A,MATCH($A421,'Smelter Reference List'!$E:$E,0)))</f>
        <v/>
      </c>
      <c r="C421" s="298" t="str">
        <f>IF(LEN(A421)=0,"",INDEX('Smelter Reference List'!$C:$C,MATCH($A421,'Smelter Reference List'!$E:$E,0)))</f>
        <v/>
      </c>
      <c r="D421" s="292" t="str">
        <f ca="1">IF(ISERROR($S421),"",OFFSET('Smelter Reference List'!$C$4,$S421-4,0)&amp;"")</f>
        <v/>
      </c>
      <c r="E421" s="292" t="str">
        <f ca="1">IF(ISERROR($S421),"",OFFSET('Smelter Reference List'!$D$4,$S421-4,0)&amp;"")</f>
        <v/>
      </c>
      <c r="F421" s="292" t="str">
        <f ca="1">IF(ISERROR($S421),"",OFFSET('Smelter Reference List'!$E$4,$S421-4,0))</f>
        <v/>
      </c>
      <c r="G421" s="292" t="str">
        <f ca="1">IF(C421=$U$4,"Enter smelter details", IF(ISERROR($S421),"",OFFSET('Smelter Reference List'!$F$4,$S421-4,0)))</f>
        <v/>
      </c>
      <c r="H421" s="293" t="str">
        <f ca="1">IF(ISERROR($S421),"",OFFSET('Smelter Reference List'!$G$4,$S421-4,0))</f>
        <v/>
      </c>
      <c r="I421" s="294" t="str">
        <f ca="1">IF(ISERROR($S421),"",OFFSET('Smelter Reference List'!$H$4,$S421-4,0))</f>
        <v/>
      </c>
      <c r="J421" s="294" t="str">
        <f ca="1">IF(ISERROR($S421),"",OFFSET('Smelter Reference List'!$I$4,$S421-4,0))</f>
        <v/>
      </c>
      <c r="K421" s="295"/>
      <c r="L421" s="295"/>
      <c r="M421" s="295"/>
      <c r="N421" s="295"/>
      <c r="O421" s="295"/>
      <c r="P421" s="295"/>
      <c r="Q421" s="296"/>
      <c r="R421" s="227"/>
      <c r="S421" s="228" t="e">
        <f>IF(C421="",NA(),MATCH($B421&amp;$C421,'Smelter Reference List'!$J:$J,0))</f>
        <v>#N/A</v>
      </c>
      <c r="T421" s="229"/>
      <c r="U421" s="229">
        <f t="shared" ca="1" si="14"/>
        <v>0</v>
      </c>
      <c r="V421" s="229"/>
      <c r="W421" s="229"/>
      <c r="Y421" s="223" t="str">
        <f t="shared" si="15"/>
        <v/>
      </c>
    </row>
    <row r="422" spans="1:25" s="223" customFormat="1" ht="20.25">
      <c r="A422" s="291"/>
      <c r="B422" s="292" t="str">
        <f>IF(LEN(A422)=0,"",INDEX('Smelter Reference List'!$A:$A,MATCH($A422,'Smelter Reference List'!$E:$E,0)))</f>
        <v/>
      </c>
      <c r="C422" s="298" t="str">
        <f>IF(LEN(A422)=0,"",INDEX('Smelter Reference List'!$C:$C,MATCH($A422,'Smelter Reference List'!$E:$E,0)))</f>
        <v/>
      </c>
      <c r="D422" s="292" t="str">
        <f ca="1">IF(ISERROR($S422),"",OFFSET('Smelter Reference List'!$C$4,$S422-4,0)&amp;"")</f>
        <v/>
      </c>
      <c r="E422" s="292" t="str">
        <f ca="1">IF(ISERROR($S422),"",OFFSET('Smelter Reference List'!$D$4,$S422-4,0)&amp;"")</f>
        <v/>
      </c>
      <c r="F422" s="292" t="str">
        <f ca="1">IF(ISERROR($S422),"",OFFSET('Smelter Reference List'!$E$4,$S422-4,0))</f>
        <v/>
      </c>
      <c r="G422" s="292" t="str">
        <f ca="1">IF(C422=$U$4,"Enter smelter details", IF(ISERROR($S422),"",OFFSET('Smelter Reference List'!$F$4,$S422-4,0)))</f>
        <v/>
      </c>
      <c r="H422" s="293" t="str">
        <f ca="1">IF(ISERROR($S422),"",OFFSET('Smelter Reference List'!$G$4,$S422-4,0))</f>
        <v/>
      </c>
      <c r="I422" s="294" t="str">
        <f ca="1">IF(ISERROR($S422),"",OFFSET('Smelter Reference List'!$H$4,$S422-4,0))</f>
        <v/>
      </c>
      <c r="J422" s="294" t="str">
        <f ca="1">IF(ISERROR($S422),"",OFFSET('Smelter Reference List'!$I$4,$S422-4,0))</f>
        <v/>
      </c>
      <c r="K422" s="295"/>
      <c r="L422" s="295"/>
      <c r="M422" s="295"/>
      <c r="N422" s="295"/>
      <c r="O422" s="295"/>
      <c r="P422" s="295"/>
      <c r="Q422" s="296"/>
      <c r="R422" s="227"/>
      <c r="S422" s="228" t="e">
        <f>IF(C422="",NA(),MATCH($B422&amp;$C422,'Smelter Reference List'!$J:$J,0))</f>
        <v>#N/A</v>
      </c>
      <c r="T422" s="229"/>
      <c r="U422" s="229">
        <f t="shared" ca="1" si="14"/>
        <v>0</v>
      </c>
      <c r="V422" s="229"/>
      <c r="W422" s="229"/>
      <c r="Y422" s="223" t="str">
        <f t="shared" si="15"/>
        <v/>
      </c>
    </row>
    <row r="423" spans="1:25" s="223" customFormat="1" ht="20.25">
      <c r="A423" s="291"/>
      <c r="B423" s="292" t="str">
        <f>IF(LEN(A423)=0,"",INDEX('Smelter Reference List'!$A:$A,MATCH($A423,'Smelter Reference List'!$E:$E,0)))</f>
        <v/>
      </c>
      <c r="C423" s="298" t="str">
        <f>IF(LEN(A423)=0,"",INDEX('Smelter Reference List'!$C:$C,MATCH($A423,'Smelter Reference List'!$E:$E,0)))</f>
        <v/>
      </c>
      <c r="D423" s="292" t="str">
        <f ca="1">IF(ISERROR($S423),"",OFFSET('Smelter Reference List'!$C$4,$S423-4,0)&amp;"")</f>
        <v/>
      </c>
      <c r="E423" s="292" t="str">
        <f ca="1">IF(ISERROR($S423),"",OFFSET('Smelter Reference List'!$D$4,$S423-4,0)&amp;"")</f>
        <v/>
      </c>
      <c r="F423" s="292" t="str">
        <f ca="1">IF(ISERROR($S423),"",OFFSET('Smelter Reference List'!$E$4,$S423-4,0))</f>
        <v/>
      </c>
      <c r="G423" s="292" t="str">
        <f ca="1">IF(C423=$U$4,"Enter smelter details", IF(ISERROR($S423),"",OFFSET('Smelter Reference List'!$F$4,$S423-4,0)))</f>
        <v/>
      </c>
      <c r="H423" s="293" t="str">
        <f ca="1">IF(ISERROR($S423),"",OFFSET('Smelter Reference List'!$G$4,$S423-4,0))</f>
        <v/>
      </c>
      <c r="I423" s="294" t="str">
        <f ca="1">IF(ISERROR($S423),"",OFFSET('Smelter Reference List'!$H$4,$S423-4,0))</f>
        <v/>
      </c>
      <c r="J423" s="294" t="str">
        <f ca="1">IF(ISERROR($S423),"",OFFSET('Smelter Reference List'!$I$4,$S423-4,0))</f>
        <v/>
      </c>
      <c r="K423" s="295"/>
      <c r="L423" s="295"/>
      <c r="M423" s="295"/>
      <c r="N423" s="295"/>
      <c r="O423" s="295"/>
      <c r="P423" s="295"/>
      <c r="Q423" s="296"/>
      <c r="R423" s="227"/>
      <c r="S423" s="228" t="e">
        <f>IF(C423="",NA(),MATCH($B423&amp;$C423,'Smelter Reference List'!$J:$J,0))</f>
        <v>#N/A</v>
      </c>
      <c r="T423" s="229"/>
      <c r="U423" s="229">
        <f t="shared" ca="1" si="14"/>
        <v>0</v>
      </c>
      <c r="V423" s="229"/>
      <c r="W423" s="229"/>
      <c r="Y423" s="223" t="str">
        <f t="shared" si="15"/>
        <v/>
      </c>
    </row>
    <row r="424" spans="1:25" s="223" customFormat="1" ht="20.25">
      <c r="A424" s="291"/>
      <c r="B424" s="292" t="str">
        <f>IF(LEN(A424)=0,"",INDEX('Smelter Reference List'!$A:$A,MATCH($A424,'Smelter Reference List'!$E:$E,0)))</f>
        <v/>
      </c>
      <c r="C424" s="298" t="str">
        <f>IF(LEN(A424)=0,"",INDEX('Smelter Reference List'!$C:$C,MATCH($A424,'Smelter Reference List'!$E:$E,0)))</f>
        <v/>
      </c>
      <c r="D424" s="292" t="str">
        <f ca="1">IF(ISERROR($S424),"",OFFSET('Smelter Reference List'!$C$4,$S424-4,0)&amp;"")</f>
        <v/>
      </c>
      <c r="E424" s="292" t="str">
        <f ca="1">IF(ISERROR($S424),"",OFFSET('Smelter Reference List'!$D$4,$S424-4,0)&amp;"")</f>
        <v/>
      </c>
      <c r="F424" s="292" t="str">
        <f ca="1">IF(ISERROR($S424),"",OFFSET('Smelter Reference List'!$E$4,$S424-4,0))</f>
        <v/>
      </c>
      <c r="G424" s="292" t="str">
        <f ca="1">IF(C424=$U$4,"Enter smelter details", IF(ISERROR($S424),"",OFFSET('Smelter Reference List'!$F$4,$S424-4,0)))</f>
        <v/>
      </c>
      <c r="H424" s="293" t="str">
        <f ca="1">IF(ISERROR($S424),"",OFFSET('Smelter Reference List'!$G$4,$S424-4,0))</f>
        <v/>
      </c>
      <c r="I424" s="294" t="str">
        <f ca="1">IF(ISERROR($S424),"",OFFSET('Smelter Reference List'!$H$4,$S424-4,0))</f>
        <v/>
      </c>
      <c r="J424" s="294" t="str">
        <f ca="1">IF(ISERROR($S424),"",OFFSET('Smelter Reference List'!$I$4,$S424-4,0))</f>
        <v/>
      </c>
      <c r="K424" s="295"/>
      <c r="L424" s="295"/>
      <c r="M424" s="295"/>
      <c r="N424" s="295"/>
      <c r="O424" s="295"/>
      <c r="P424" s="295"/>
      <c r="Q424" s="296"/>
      <c r="R424" s="227"/>
      <c r="S424" s="228" t="e">
        <f>IF(C424="",NA(),MATCH($B424&amp;$C424,'Smelter Reference List'!$J:$J,0))</f>
        <v>#N/A</v>
      </c>
      <c r="T424" s="229"/>
      <c r="U424" s="229">
        <f t="shared" ca="1" si="14"/>
        <v>0</v>
      </c>
      <c r="V424" s="229"/>
      <c r="W424" s="229"/>
      <c r="Y424" s="223" t="str">
        <f t="shared" si="15"/>
        <v/>
      </c>
    </row>
    <row r="425" spans="1:25" s="223" customFormat="1" ht="20.25">
      <c r="A425" s="291"/>
      <c r="B425" s="292" t="str">
        <f>IF(LEN(A425)=0,"",INDEX('Smelter Reference List'!$A:$A,MATCH($A425,'Smelter Reference List'!$E:$E,0)))</f>
        <v/>
      </c>
      <c r="C425" s="298" t="str">
        <f>IF(LEN(A425)=0,"",INDEX('Smelter Reference List'!$C:$C,MATCH($A425,'Smelter Reference List'!$E:$E,0)))</f>
        <v/>
      </c>
      <c r="D425" s="292" t="str">
        <f ca="1">IF(ISERROR($S425),"",OFFSET('Smelter Reference List'!$C$4,$S425-4,0)&amp;"")</f>
        <v/>
      </c>
      <c r="E425" s="292" t="str">
        <f ca="1">IF(ISERROR($S425),"",OFFSET('Smelter Reference List'!$D$4,$S425-4,0)&amp;"")</f>
        <v/>
      </c>
      <c r="F425" s="292" t="str">
        <f ca="1">IF(ISERROR($S425),"",OFFSET('Smelter Reference List'!$E$4,$S425-4,0))</f>
        <v/>
      </c>
      <c r="G425" s="292" t="str">
        <f ca="1">IF(C425=$U$4,"Enter smelter details", IF(ISERROR($S425),"",OFFSET('Smelter Reference List'!$F$4,$S425-4,0)))</f>
        <v/>
      </c>
      <c r="H425" s="293" t="str">
        <f ca="1">IF(ISERROR($S425),"",OFFSET('Smelter Reference List'!$G$4,$S425-4,0))</f>
        <v/>
      </c>
      <c r="I425" s="294" t="str">
        <f ca="1">IF(ISERROR($S425),"",OFFSET('Smelter Reference List'!$H$4,$S425-4,0))</f>
        <v/>
      </c>
      <c r="J425" s="294" t="str">
        <f ca="1">IF(ISERROR($S425),"",OFFSET('Smelter Reference List'!$I$4,$S425-4,0))</f>
        <v/>
      </c>
      <c r="K425" s="295"/>
      <c r="L425" s="295"/>
      <c r="M425" s="295"/>
      <c r="N425" s="295"/>
      <c r="O425" s="295"/>
      <c r="P425" s="295"/>
      <c r="Q425" s="296"/>
      <c r="R425" s="227"/>
      <c r="S425" s="228" t="e">
        <f>IF(C425="",NA(),MATCH($B425&amp;$C425,'Smelter Reference List'!$J:$J,0))</f>
        <v>#N/A</v>
      </c>
      <c r="T425" s="229"/>
      <c r="U425" s="229">
        <f t="shared" ca="1" si="14"/>
        <v>0</v>
      </c>
      <c r="V425" s="229"/>
      <c r="W425" s="229"/>
      <c r="Y425" s="223" t="str">
        <f t="shared" si="15"/>
        <v/>
      </c>
    </row>
    <row r="426" spans="1:25" s="223" customFormat="1" ht="20.25">
      <c r="A426" s="291"/>
      <c r="B426" s="292" t="str">
        <f>IF(LEN(A426)=0,"",INDEX('Smelter Reference List'!$A:$A,MATCH($A426,'Smelter Reference List'!$E:$E,0)))</f>
        <v/>
      </c>
      <c r="C426" s="298" t="str">
        <f>IF(LEN(A426)=0,"",INDEX('Smelter Reference List'!$C:$C,MATCH($A426,'Smelter Reference List'!$E:$E,0)))</f>
        <v/>
      </c>
      <c r="D426" s="292" t="str">
        <f ca="1">IF(ISERROR($S426),"",OFFSET('Smelter Reference List'!$C$4,$S426-4,0)&amp;"")</f>
        <v/>
      </c>
      <c r="E426" s="292" t="str">
        <f ca="1">IF(ISERROR($S426),"",OFFSET('Smelter Reference List'!$D$4,$S426-4,0)&amp;"")</f>
        <v/>
      </c>
      <c r="F426" s="292" t="str">
        <f ca="1">IF(ISERROR($S426),"",OFFSET('Smelter Reference List'!$E$4,$S426-4,0))</f>
        <v/>
      </c>
      <c r="G426" s="292" t="str">
        <f ca="1">IF(C426=$U$4,"Enter smelter details", IF(ISERROR($S426),"",OFFSET('Smelter Reference List'!$F$4,$S426-4,0)))</f>
        <v/>
      </c>
      <c r="H426" s="293" t="str">
        <f ca="1">IF(ISERROR($S426),"",OFFSET('Smelter Reference List'!$G$4,$S426-4,0))</f>
        <v/>
      </c>
      <c r="I426" s="294" t="str">
        <f ca="1">IF(ISERROR($S426),"",OFFSET('Smelter Reference List'!$H$4,$S426-4,0))</f>
        <v/>
      </c>
      <c r="J426" s="294" t="str">
        <f ca="1">IF(ISERROR($S426),"",OFFSET('Smelter Reference List'!$I$4,$S426-4,0))</f>
        <v/>
      </c>
      <c r="K426" s="295"/>
      <c r="L426" s="295"/>
      <c r="M426" s="295"/>
      <c r="N426" s="295"/>
      <c r="O426" s="295"/>
      <c r="P426" s="295"/>
      <c r="Q426" s="296"/>
      <c r="R426" s="227"/>
      <c r="S426" s="228" t="e">
        <f>IF(C426="",NA(),MATCH($B426&amp;$C426,'Smelter Reference List'!$J:$J,0))</f>
        <v>#N/A</v>
      </c>
      <c r="T426" s="229"/>
      <c r="U426" s="229">
        <f t="shared" ca="1" si="14"/>
        <v>0</v>
      </c>
      <c r="V426" s="229"/>
      <c r="W426" s="229"/>
      <c r="Y426" s="223" t="str">
        <f t="shared" si="15"/>
        <v/>
      </c>
    </row>
    <row r="427" spans="1:25" s="223" customFormat="1" ht="20.25">
      <c r="A427" s="291"/>
      <c r="B427" s="292" t="str">
        <f>IF(LEN(A427)=0,"",INDEX('Smelter Reference List'!$A:$A,MATCH($A427,'Smelter Reference List'!$E:$E,0)))</f>
        <v/>
      </c>
      <c r="C427" s="298" t="str">
        <f>IF(LEN(A427)=0,"",INDEX('Smelter Reference List'!$C:$C,MATCH($A427,'Smelter Reference List'!$E:$E,0)))</f>
        <v/>
      </c>
      <c r="D427" s="292" t="str">
        <f ca="1">IF(ISERROR($S427),"",OFFSET('Smelter Reference List'!$C$4,$S427-4,0)&amp;"")</f>
        <v/>
      </c>
      <c r="E427" s="292" t="str">
        <f ca="1">IF(ISERROR($S427),"",OFFSET('Smelter Reference List'!$D$4,$S427-4,0)&amp;"")</f>
        <v/>
      </c>
      <c r="F427" s="292" t="str">
        <f ca="1">IF(ISERROR($S427),"",OFFSET('Smelter Reference List'!$E$4,$S427-4,0))</f>
        <v/>
      </c>
      <c r="G427" s="292" t="str">
        <f ca="1">IF(C427=$U$4,"Enter smelter details", IF(ISERROR($S427),"",OFFSET('Smelter Reference List'!$F$4,$S427-4,0)))</f>
        <v/>
      </c>
      <c r="H427" s="293" t="str">
        <f ca="1">IF(ISERROR($S427),"",OFFSET('Smelter Reference List'!$G$4,$S427-4,0))</f>
        <v/>
      </c>
      <c r="I427" s="294" t="str">
        <f ca="1">IF(ISERROR($S427),"",OFFSET('Smelter Reference List'!$H$4,$S427-4,0))</f>
        <v/>
      </c>
      <c r="J427" s="294" t="str">
        <f ca="1">IF(ISERROR($S427),"",OFFSET('Smelter Reference List'!$I$4,$S427-4,0))</f>
        <v/>
      </c>
      <c r="K427" s="295"/>
      <c r="L427" s="295"/>
      <c r="M427" s="295"/>
      <c r="N427" s="295"/>
      <c r="O427" s="295"/>
      <c r="P427" s="295"/>
      <c r="Q427" s="296"/>
      <c r="R427" s="227"/>
      <c r="S427" s="228" t="e">
        <f>IF(C427="",NA(),MATCH($B427&amp;$C427,'Smelter Reference List'!$J:$J,0))</f>
        <v>#N/A</v>
      </c>
      <c r="T427" s="229"/>
      <c r="U427" s="229">
        <f t="shared" ca="1" si="14"/>
        <v>0</v>
      </c>
      <c r="V427" s="229"/>
      <c r="W427" s="229"/>
      <c r="Y427" s="223" t="str">
        <f t="shared" si="15"/>
        <v/>
      </c>
    </row>
    <row r="428" spans="1:25" s="223" customFormat="1" ht="20.25">
      <c r="A428" s="291"/>
      <c r="B428" s="292" t="str">
        <f>IF(LEN(A428)=0,"",INDEX('Smelter Reference List'!$A:$A,MATCH($A428,'Smelter Reference List'!$E:$E,0)))</f>
        <v/>
      </c>
      <c r="C428" s="298" t="str">
        <f>IF(LEN(A428)=0,"",INDEX('Smelter Reference List'!$C:$C,MATCH($A428,'Smelter Reference List'!$E:$E,0)))</f>
        <v/>
      </c>
      <c r="D428" s="292" t="str">
        <f ca="1">IF(ISERROR($S428),"",OFFSET('Smelter Reference List'!$C$4,$S428-4,0)&amp;"")</f>
        <v/>
      </c>
      <c r="E428" s="292" t="str">
        <f ca="1">IF(ISERROR($S428),"",OFFSET('Smelter Reference List'!$D$4,$S428-4,0)&amp;"")</f>
        <v/>
      </c>
      <c r="F428" s="292" t="str">
        <f ca="1">IF(ISERROR($S428),"",OFFSET('Smelter Reference List'!$E$4,$S428-4,0))</f>
        <v/>
      </c>
      <c r="G428" s="292" t="str">
        <f ca="1">IF(C428=$U$4,"Enter smelter details", IF(ISERROR($S428),"",OFFSET('Smelter Reference List'!$F$4,$S428-4,0)))</f>
        <v/>
      </c>
      <c r="H428" s="293" t="str">
        <f ca="1">IF(ISERROR($S428),"",OFFSET('Smelter Reference List'!$G$4,$S428-4,0))</f>
        <v/>
      </c>
      <c r="I428" s="294" t="str">
        <f ca="1">IF(ISERROR($S428),"",OFFSET('Smelter Reference List'!$H$4,$S428-4,0))</f>
        <v/>
      </c>
      <c r="J428" s="294" t="str">
        <f ca="1">IF(ISERROR($S428),"",OFFSET('Smelter Reference List'!$I$4,$S428-4,0))</f>
        <v/>
      </c>
      <c r="K428" s="295"/>
      <c r="L428" s="295"/>
      <c r="M428" s="295"/>
      <c r="N428" s="295"/>
      <c r="O428" s="295"/>
      <c r="P428" s="295"/>
      <c r="Q428" s="296"/>
      <c r="R428" s="227"/>
      <c r="S428" s="228" t="e">
        <f>IF(C428="",NA(),MATCH($B428&amp;$C428,'Smelter Reference List'!$J:$J,0))</f>
        <v>#N/A</v>
      </c>
      <c r="T428" s="229"/>
      <c r="U428" s="229">
        <f t="shared" ca="1" si="14"/>
        <v>0</v>
      </c>
      <c r="V428" s="229"/>
      <c r="W428" s="229"/>
      <c r="Y428" s="223" t="str">
        <f t="shared" si="15"/>
        <v/>
      </c>
    </row>
    <row r="429" spans="1:25" s="223" customFormat="1" ht="20.25">
      <c r="A429" s="291"/>
      <c r="B429" s="292" t="str">
        <f>IF(LEN(A429)=0,"",INDEX('Smelter Reference List'!$A:$A,MATCH($A429,'Smelter Reference List'!$E:$E,0)))</f>
        <v/>
      </c>
      <c r="C429" s="298" t="str">
        <f>IF(LEN(A429)=0,"",INDEX('Smelter Reference List'!$C:$C,MATCH($A429,'Smelter Reference List'!$E:$E,0)))</f>
        <v/>
      </c>
      <c r="D429" s="292" t="str">
        <f ca="1">IF(ISERROR($S429),"",OFFSET('Smelter Reference List'!$C$4,$S429-4,0)&amp;"")</f>
        <v/>
      </c>
      <c r="E429" s="292" t="str">
        <f ca="1">IF(ISERROR($S429),"",OFFSET('Smelter Reference List'!$D$4,$S429-4,0)&amp;"")</f>
        <v/>
      </c>
      <c r="F429" s="292" t="str">
        <f ca="1">IF(ISERROR($S429),"",OFFSET('Smelter Reference List'!$E$4,$S429-4,0))</f>
        <v/>
      </c>
      <c r="G429" s="292" t="str">
        <f ca="1">IF(C429=$U$4,"Enter smelter details", IF(ISERROR($S429),"",OFFSET('Smelter Reference List'!$F$4,$S429-4,0)))</f>
        <v/>
      </c>
      <c r="H429" s="293" t="str">
        <f ca="1">IF(ISERROR($S429),"",OFFSET('Smelter Reference List'!$G$4,$S429-4,0))</f>
        <v/>
      </c>
      <c r="I429" s="294" t="str">
        <f ca="1">IF(ISERROR($S429),"",OFFSET('Smelter Reference List'!$H$4,$S429-4,0))</f>
        <v/>
      </c>
      <c r="J429" s="294" t="str">
        <f ca="1">IF(ISERROR($S429),"",OFFSET('Smelter Reference List'!$I$4,$S429-4,0))</f>
        <v/>
      </c>
      <c r="K429" s="295"/>
      <c r="L429" s="295"/>
      <c r="M429" s="295"/>
      <c r="N429" s="295"/>
      <c r="O429" s="295"/>
      <c r="P429" s="295"/>
      <c r="Q429" s="296"/>
      <c r="R429" s="227"/>
      <c r="S429" s="228" t="e">
        <f>IF(C429="",NA(),MATCH($B429&amp;$C429,'Smelter Reference List'!$J:$J,0))</f>
        <v>#N/A</v>
      </c>
      <c r="T429" s="229"/>
      <c r="U429" s="229">
        <f t="shared" ca="1" si="14"/>
        <v>0</v>
      </c>
      <c r="V429" s="229"/>
      <c r="W429" s="229"/>
      <c r="Y429" s="223" t="str">
        <f t="shared" si="15"/>
        <v/>
      </c>
    </row>
    <row r="430" spans="1:25" s="223" customFormat="1" ht="20.25">
      <c r="A430" s="291"/>
      <c r="B430" s="292" t="str">
        <f>IF(LEN(A430)=0,"",INDEX('Smelter Reference List'!$A:$A,MATCH($A430,'Smelter Reference List'!$E:$E,0)))</f>
        <v/>
      </c>
      <c r="C430" s="298" t="str">
        <f>IF(LEN(A430)=0,"",INDEX('Smelter Reference List'!$C:$C,MATCH($A430,'Smelter Reference List'!$E:$E,0)))</f>
        <v/>
      </c>
      <c r="D430" s="292" t="str">
        <f ca="1">IF(ISERROR($S430),"",OFFSET('Smelter Reference List'!$C$4,$S430-4,0)&amp;"")</f>
        <v/>
      </c>
      <c r="E430" s="292" t="str">
        <f ca="1">IF(ISERROR($S430),"",OFFSET('Smelter Reference List'!$D$4,$S430-4,0)&amp;"")</f>
        <v/>
      </c>
      <c r="F430" s="292" t="str">
        <f ca="1">IF(ISERROR($S430),"",OFFSET('Smelter Reference List'!$E$4,$S430-4,0))</f>
        <v/>
      </c>
      <c r="G430" s="292" t="str">
        <f ca="1">IF(C430=$U$4,"Enter smelter details", IF(ISERROR($S430),"",OFFSET('Smelter Reference List'!$F$4,$S430-4,0)))</f>
        <v/>
      </c>
      <c r="H430" s="293" t="str">
        <f ca="1">IF(ISERROR($S430),"",OFFSET('Smelter Reference List'!$G$4,$S430-4,0))</f>
        <v/>
      </c>
      <c r="I430" s="294" t="str">
        <f ca="1">IF(ISERROR($S430),"",OFFSET('Smelter Reference List'!$H$4,$S430-4,0))</f>
        <v/>
      </c>
      <c r="J430" s="294" t="str">
        <f ca="1">IF(ISERROR($S430),"",OFFSET('Smelter Reference List'!$I$4,$S430-4,0))</f>
        <v/>
      </c>
      <c r="K430" s="295"/>
      <c r="L430" s="295"/>
      <c r="M430" s="295"/>
      <c r="N430" s="295"/>
      <c r="O430" s="295"/>
      <c r="P430" s="295"/>
      <c r="Q430" s="296"/>
      <c r="R430" s="227"/>
      <c r="S430" s="228" t="e">
        <f>IF(C430="",NA(),MATCH($B430&amp;$C430,'Smelter Reference List'!$J:$J,0))</f>
        <v>#N/A</v>
      </c>
      <c r="T430" s="229"/>
      <c r="U430" s="229">
        <f t="shared" ca="1" si="14"/>
        <v>0</v>
      </c>
      <c r="V430" s="229"/>
      <c r="W430" s="229"/>
      <c r="Y430" s="223" t="str">
        <f t="shared" si="15"/>
        <v/>
      </c>
    </row>
    <row r="431" spans="1:25" s="223" customFormat="1" ht="20.25">
      <c r="A431" s="291"/>
      <c r="B431" s="292" t="str">
        <f>IF(LEN(A431)=0,"",INDEX('Smelter Reference List'!$A:$A,MATCH($A431,'Smelter Reference List'!$E:$E,0)))</f>
        <v/>
      </c>
      <c r="C431" s="298" t="str">
        <f>IF(LEN(A431)=0,"",INDEX('Smelter Reference List'!$C:$C,MATCH($A431,'Smelter Reference List'!$E:$E,0)))</f>
        <v/>
      </c>
      <c r="D431" s="292" t="str">
        <f ca="1">IF(ISERROR($S431),"",OFFSET('Smelter Reference List'!$C$4,$S431-4,0)&amp;"")</f>
        <v/>
      </c>
      <c r="E431" s="292" t="str">
        <f ca="1">IF(ISERROR($S431),"",OFFSET('Smelter Reference List'!$D$4,$S431-4,0)&amp;"")</f>
        <v/>
      </c>
      <c r="F431" s="292" t="str">
        <f ca="1">IF(ISERROR($S431),"",OFFSET('Smelter Reference List'!$E$4,$S431-4,0))</f>
        <v/>
      </c>
      <c r="G431" s="292" t="str">
        <f ca="1">IF(C431=$U$4,"Enter smelter details", IF(ISERROR($S431),"",OFFSET('Smelter Reference List'!$F$4,$S431-4,0)))</f>
        <v/>
      </c>
      <c r="H431" s="293" t="str">
        <f ca="1">IF(ISERROR($S431),"",OFFSET('Smelter Reference List'!$G$4,$S431-4,0))</f>
        <v/>
      </c>
      <c r="I431" s="294" t="str">
        <f ca="1">IF(ISERROR($S431),"",OFFSET('Smelter Reference List'!$H$4,$S431-4,0))</f>
        <v/>
      </c>
      <c r="J431" s="294" t="str">
        <f ca="1">IF(ISERROR($S431),"",OFFSET('Smelter Reference List'!$I$4,$S431-4,0))</f>
        <v/>
      </c>
      <c r="K431" s="295"/>
      <c r="L431" s="295"/>
      <c r="M431" s="295"/>
      <c r="N431" s="295"/>
      <c r="O431" s="295"/>
      <c r="P431" s="295"/>
      <c r="Q431" s="296"/>
      <c r="R431" s="227"/>
      <c r="S431" s="228" t="e">
        <f>IF(C431="",NA(),MATCH($B431&amp;$C431,'Smelter Reference List'!$J:$J,0))</f>
        <v>#N/A</v>
      </c>
      <c r="T431" s="229"/>
      <c r="U431" s="229">
        <f t="shared" ca="1" si="14"/>
        <v>0</v>
      </c>
      <c r="V431" s="229"/>
      <c r="W431" s="229"/>
      <c r="Y431" s="223" t="str">
        <f t="shared" si="15"/>
        <v/>
      </c>
    </row>
    <row r="432" spans="1:25" s="223" customFormat="1" ht="20.25">
      <c r="A432" s="291"/>
      <c r="B432" s="292" t="str">
        <f>IF(LEN(A432)=0,"",INDEX('Smelter Reference List'!$A:$A,MATCH($A432,'Smelter Reference List'!$E:$E,0)))</f>
        <v/>
      </c>
      <c r="C432" s="298" t="str">
        <f>IF(LEN(A432)=0,"",INDEX('Smelter Reference List'!$C:$C,MATCH($A432,'Smelter Reference List'!$E:$E,0)))</f>
        <v/>
      </c>
      <c r="D432" s="292" t="str">
        <f ca="1">IF(ISERROR($S432),"",OFFSET('Smelter Reference List'!$C$4,$S432-4,0)&amp;"")</f>
        <v/>
      </c>
      <c r="E432" s="292" t="str">
        <f ca="1">IF(ISERROR($S432),"",OFFSET('Smelter Reference List'!$D$4,$S432-4,0)&amp;"")</f>
        <v/>
      </c>
      <c r="F432" s="292" t="str">
        <f ca="1">IF(ISERROR($S432),"",OFFSET('Smelter Reference List'!$E$4,$S432-4,0))</f>
        <v/>
      </c>
      <c r="G432" s="292" t="str">
        <f ca="1">IF(C432=$U$4,"Enter smelter details", IF(ISERROR($S432),"",OFFSET('Smelter Reference List'!$F$4,$S432-4,0)))</f>
        <v/>
      </c>
      <c r="H432" s="293" t="str">
        <f ca="1">IF(ISERROR($S432),"",OFFSET('Smelter Reference List'!$G$4,$S432-4,0))</f>
        <v/>
      </c>
      <c r="I432" s="294" t="str">
        <f ca="1">IF(ISERROR($S432),"",OFFSET('Smelter Reference List'!$H$4,$S432-4,0))</f>
        <v/>
      </c>
      <c r="J432" s="294" t="str">
        <f ca="1">IF(ISERROR($S432),"",OFFSET('Smelter Reference List'!$I$4,$S432-4,0))</f>
        <v/>
      </c>
      <c r="K432" s="295"/>
      <c r="L432" s="295"/>
      <c r="M432" s="295"/>
      <c r="N432" s="295"/>
      <c r="O432" s="295"/>
      <c r="P432" s="295"/>
      <c r="Q432" s="296"/>
      <c r="R432" s="227"/>
      <c r="S432" s="228" t="e">
        <f>IF(C432="",NA(),MATCH($B432&amp;$C432,'Smelter Reference List'!$J:$J,0))</f>
        <v>#N/A</v>
      </c>
      <c r="T432" s="229"/>
      <c r="U432" s="229">
        <f t="shared" ca="1" si="14"/>
        <v>0</v>
      </c>
      <c r="V432" s="229"/>
      <c r="W432" s="229"/>
      <c r="Y432" s="223" t="str">
        <f t="shared" si="15"/>
        <v/>
      </c>
    </row>
    <row r="433" spans="1:25" s="223" customFormat="1" ht="20.25">
      <c r="A433" s="291"/>
      <c r="B433" s="292" t="str">
        <f>IF(LEN(A433)=0,"",INDEX('Smelter Reference List'!$A:$A,MATCH($A433,'Smelter Reference List'!$E:$E,0)))</f>
        <v/>
      </c>
      <c r="C433" s="298" t="str">
        <f>IF(LEN(A433)=0,"",INDEX('Smelter Reference List'!$C:$C,MATCH($A433,'Smelter Reference List'!$E:$E,0)))</f>
        <v/>
      </c>
      <c r="D433" s="292" t="str">
        <f ca="1">IF(ISERROR($S433),"",OFFSET('Smelter Reference List'!$C$4,$S433-4,0)&amp;"")</f>
        <v/>
      </c>
      <c r="E433" s="292" t="str">
        <f ca="1">IF(ISERROR($S433),"",OFFSET('Smelter Reference List'!$D$4,$S433-4,0)&amp;"")</f>
        <v/>
      </c>
      <c r="F433" s="292" t="str">
        <f ca="1">IF(ISERROR($S433),"",OFFSET('Smelter Reference List'!$E$4,$S433-4,0))</f>
        <v/>
      </c>
      <c r="G433" s="292" t="str">
        <f ca="1">IF(C433=$U$4,"Enter smelter details", IF(ISERROR($S433),"",OFFSET('Smelter Reference List'!$F$4,$S433-4,0)))</f>
        <v/>
      </c>
      <c r="H433" s="293" t="str">
        <f ca="1">IF(ISERROR($S433),"",OFFSET('Smelter Reference List'!$G$4,$S433-4,0))</f>
        <v/>
      </c>
      <c r="I433" s="294" t="str">
        <f ca="1">IF(ISERROR($S433),"",OFFSET('Smelter Reference List'!$H$4,$S433-4,0))</f>
        <v/>
      </c>
      <c r="J433" s="294" t="str">
        <f ca="1">IF(ISERROR($S433),"",OFFSET('Smelter Reference List'!$I$4,$S433-4,0))</f>
        <v/>
      </c>
      <c r="K433" s="295"/>
      <c r="L433" s="295"/>
      <c r="M433" s="295"/>
      <c r="N433" s="295"/>
      <c r="O433" s="295"/>
      <c r="P433" s="295"/>
      <c r="Q433" s="296"/>
      <c r="R433" s="227"/>
      <c r="S433" s="228" t="e">
        <f>IF(C433="",NA(),MATCH($B433&amp;$C433,'Smelter Reference List'!$J:$J,0))</f>
        <v>#N/A</v>
      </c>
      <c r="T433" s="229"/>
      <c r="U433" s="229">
        <f t="shared" ca="1" si="14"/>
        <v>0</v>
      </c>
      <c r="V433" s="229"/>
      <c r="W433" s="229"/>
      <c r="Y433" s="223" t="str">
        <f t="shared" si="15"/>
        <v/>
      </c>
    </row>
    <row r="434" spans="1:25" s="223" customFormat="1" ht="20.25">
      <c r="A434" s="291"/>
      <c r="B434" s="292" t="str">
        <f>IF(LEN(A434)=0,"",INDEX('Smelter Reference List'!$A:$A,MATCH($A434,'Smelter Reference List'!$E:$E,0)))</f>
        <v/>
      </c>
      <c r="C434" s="298" t="str">
        <f>IF(LEN(A434)=0,"",INDEX('Smelter Reference List'!$C:$C,MATCH($A434,'Smelter Reference List'!$E:$E,0)))</f>
        <v/>
      </c>
      <c r="D434" s="292" t="str">
        <f ca="1">IF(ISERROR($S434),"",OFFSET('Smelter Reference List'!$C$4,$S434-4,0)&amp;"")</f>
        <v/>
      </c>
      <c r="E434" s="292" t="str">
        <f ca="1">IF(ISERROR($S434),"",OFFSET('Smelter Reference List'!$D$4,$S434-4,0)&amp;"")</f>
        <v/>
      </c>
      <c r="F434" s="292" t="str">
        <f ca="1">IF(ISERROR($S434),"",OFFSET('Smelter Reference List'!$E$4,$S434-4,0))</f>
        <v/>
      </c>
      <c r="G434" s="292" t="str">
        <f ca="1">IF(C434=$U$4,"Enter smelter details", IF(ISERROR($S434),"",OFFSET('Smelter Reference List'!$F$4,$S434-4,0)))</f>
        <v/>
      </c>
      <c r="H434" s="293" t="str">
        <f ca="1">IF(ISERROR($S434),"",OFFSET('Smelter Reference List'!$G$4,$S434-4,0))</f>
        <v/>
      </c>
      <c r="I434" s="294" t="str">
        <f ca="1">IF(ISERROR($S434),"",OFFSET('Smelter Reference List'!$H$4,$S434-4,0))</f>
        <v/>
      </c>
      <c r="J434" s="294" t="str">
        <f ca="1">IF(ISERROR($S434),"",OFFSET('Smelter Reference List'!$I$4,$S434-4,0))</f>
        <v/>
      </c>
      <c r="K434" s="295"/>
      <c r="L434" s="295"/>
      <c r="M434" s="295"/>
      <c r="N434" s="295"/>
      <c r="O434" s="295"/>
      <c r="P434" s="295"/>
      <c r="Q434" s="296"/>
      <c r="R434" s="227"/>
      <c r="S434" s="228" t="e">
        <f>IF(C434="",NA(),MATCH($B434&amp;$C434,'Smelter Reference List'!$J:$J,0))</f>
        <v>#N/A</v>
      </c>
      <c r="T434" s="229"/>
      <c r="U434" s="229">
        <f t="shared" ca="1" si="14"/>
        <v>0</v>
      </c>
      <c r="V434" s="229"/>
      <c r="W434" s="229"/>
      <c r="Y434" s="223" t="str">
        <f t="shared" si="15"/>
        <v/>
      </c>
    </row>
    <row r="435" spans="1:25" s="223" customFormat="1" ht="20.25">
      <c r="A435" s="291"/>
      <c r="B435" s="292" t="str">
        <f>IF(LEN(A435)=0,"",INDEX('Smelter Reference List'!$A:$A,MATCH($A435,'Smelter Reference List'!$E:$E,0)))</f>
        <v/>
      </c>
      <c r="C435" s="298" t="str">
        <f>IF(LEN(A435)=0,"",INDEX('Smelter Reference List'!$C:$C,MATCH($A435,'Smelter Reference List'!$E:$E,0)))</f>
        <v/>
      </c>
      <c r="D435" s="292" t="str">
        <f ca="1">IF(ISERROR($S435),"",OFFSET('Smelter Reference List'!$C$4,$S435-4,0)&amp;"")</f>
        <v/>
      </c>
      <c r="E435" s="292" t="str">
        <f ca="1">IF(ISERROR($S435),"",OFFSET('Smelter Reference List'!$D$4,$S435-4,0)&amp;"")</f>
        <v/>
      </c>
      <c r="F435" s="292" t="str">
        <f ca="1">IF(ISERROR($S435),"",OFFSET('Smelter Reference List'!$E$4,$S435-4,0))</f>
        <v/>
      </c>
      <c r="G435" s="292" t="str">
        <f ca="1">IF(C435=$U$4,"Enter smelter details", IF(ISERROR($S435),"",OFFSET('Smelter Reference List'!$F$4,$S435-4,0)))</f>
        <v/>
      </c>
      <c r="H435" s="293" t="str">
        <f ca="1">IF(ISERROR($S435),"",OFFSET('Smelter Reference List'!$G$4,$S435-4,0))</f>
        <v/>
      </c>
      <c r="I435" s="294" t="str">
        <f ca="1">IF(ISERROR($S435),"",OFFSET('Smelter Reference List'!$H$4,$S435-4,0))</f>
        <v/>
      </c>
      <c r="J435" s="294" t="str">
        <f ca="1">IF(ISERROR($S435),"",OFFSET('Smelter Reference List'!$I$4,$S435-4,0))</f>
        <v/>
      </c>
      <c r="K435" s="295"/>
      <c r="L435" s="295"/>
      <c r="M435" s="295"/>
      <c r="N435" s="295"/>
      <c r="O435" s="295"/>
      <c r="P435" s="295"/>
      <c r="Q435" s="296"/>
      <c r="R435" s="227"/>
      <c r="S435" s="228" t="e">
        <f>IF(C435="",NA(),MATCH($B435&amp;$C435,'Smelter Reference List'!$J:$J,0))</f>
        <v>#N/A</v>
      </c>
      <c r="T435" s="229"/>
      <c r="U435" s="229">
        <f t="shared" ca="1" si="14"/>
        <v>0</v>
      </c>
      <c r="V435" s="229"/>
      <c r="W435" s="229"/>
      <c r="Y435" s="223" t="str">
        <f t="shared" si="15"/>
        <v/>
      </c>
    </row>
    <row r="436" spans="1:25" s="223" customFormat="1" ht="20.25">
      <c r="A436" s="291"/>
      <c r="B436" s="292" t="str">
        <f>IF(LEN(A436)=0,"",INDEX('Smelter Reference List'!$A:$A,MATCH($A436,'Smelter Reference List'!$E:$E,0)))</f>
        <v/>
      </c>
      <c r="C436" s="298" t="str">
        <f>IF(LEN(A436)=0,"",INDEX('Smelter Reference List'!$C:$C,MATCH($A436,'Smelter Reference List'!$E:$E,0)))</f>
        <v/>
      </c>
      <c r="D436" s="292" t="str">
        <f ca="1">IF(ISERROR($S436),"",OFFSET('Smelter Reference List'!$C$4,$S436-4,0)&amp;"")</f>
        <v/>
      </c>
      <c r="E436" s="292" t="str">
        <f ca="1">IF(ISERROR($S436),"",OFFSET('Smelter Reference List'!$D$4,$S436-4,0)&amp;"")</f>
        <v/>
      </c>
      <c r="F436" s="292" t="str">
        <f ca="1">IF(ISERROR($S436),"",OFFSET('Smelter Reference List'!$E$4,$S436-4,0))</f>
        <v/>
      </c>
      <c r="G436" s="292" t="str">
        <f ca="1">IF(C436=$U$4,"Enter smelter details", IF(ISERROR($S436),"",OFFSET('Smelter Reference List'!$F$4,$S436-4,0)))</f>
        <v/>
      </c>
      <c r="H436" s="293" t="str">
        <f ca="1">IF(ISERROR($S436),"",OFFSET('Smelter Reference List'!$G$4,$S436-4,0))</f>
        <v/>
      </c>
      <c r="I436" s="294" t="str">
        <f ca="1">IF(ISERROR($S436),"",OFFSET('Smelter Reference List'!$H$4,$S436-4,0))</f>
        <v/>
      </c>
      <c r="J436" s="294" t="str">
        <f ca="1">IF(ISERROR($S436),"",OFFSET('Smelter Reference List'!$I$4,$S436-4,0))</f>
        <v/>
      </c>
      <c r="K436" s="295"/>
      <c r="L436" s="295"/>
      <c r="M436" s="295"/>
      <c r="N436" s="295"/>
      <c r="O436" s="295"/>
      <c r="P436" s="295"/>
      <c r="Q436" s="296"/>
      <c r="R436" s="227"/>
      <c r="S436" s="228" t="e">
        <f>IF(C436="",NA(),MATCH($B436&amp;$C436,'Smelter Reference List'!$J:$J,0))</f>
        <v>#N/A</v>
      </c>
      <c r="T436" s="229"/>
      <c r="U436" s="229">
        <f t="shared" ca="1" si="14"/>
        <v>0</v>
      </c>
      <c r="V436" s="229"/>
      <c r="W436" s="229"/>
      <c r="Y436" s="223" t="str">
        <f t="shared" si="15"/>
        <v/>
      </c>
    </row>
    <row r="437" spans="1:25" s="223" customFormat="1" ht="20.25">
      <c r="A437" s="291"/>
      <c r="B437" s="292" t="str">
        <f>IF(LEN(A437)=0,"",INDEX('Smelter Reference List'!$A:$A,MATCH($A437,'Smelter Reference List'!$E:$E,0)))</f>
        <v/>
      </c>
      <c r="C437" s="298" t="str">
        <f>IF(LEN(A437)=0,"",INDEX('Smelter Reference List'!$C:$C,MATCH($A437,'Smelter Reference List'!$E:$E,0)))</f>
        <v/>
      </c>
      <c r="D437" s="292" t="str">
        <f ca="1">IF(ISERROR($S437),"",OFFSET('Smelter Reference List'!$C$4,$S437-4,0)&amp;"")</f>
        <v/>
      </c>
      <c r="E437" s="292" t="str">
        <f ca="1">IF(ISERROR($S437),"",OFFSET('Smelter Reference List'!$D$4,$S437-4,0)&amp;"")</f>
        <v/>
      </c>
      <c r="F437" s="292" t="str">
        <f ca="1">IF(ISERROR($S437),"",OFFSET('Smelter Reference List'!$E$4,$S437-4,0))</f>
        <v/>
      </c>
      <c r="G437" s="292" t="str">
        <f ca="1">IF(C437=$U$4,"Enter smelter details", IF(ISERROR($S437),"",OFFSET('Smelter Reference List'!$F$4,$S437-4,0)))</f>
        <v/>
      </c>
      <c r="H437" s="293" t="str">
        <f ca="1">IF(ISERROR($S437),"",OFFSET('Smelter Reference List'!$G$4,$S437-4,0))</f>
        <v/>
      </c>
      <c r="I437" s="294" t="str">
        <f ca="1">IF(ISERROR($S437),"",OFFSET('Smelter Reference List'!$H$4,$S437-4,0))</f>
        <v/>
      </c>
      <c r="J437" s="294" t="str">
        <f ca="1">IF(ISERROR($S437),"",OFFSET('Smelter Reference List'!$I$4,$S437-4,0))</f>
        <v/>
      </c>
      <c r="K437" s="295"/>
      <c r="L437" s="295"/>
      <c r="M437" s="295"/>
      <c r="N437" s="295"/>
      <c r="O437" s="295"/>
      <c r="P437" s="295"/>
      <c r="Q437" s="296"/>
      <c r="R437" s="227"/>
      <c r="S437" s="228" t="e">
        <f>IF(C437="",NA(),MATCH($B437&amp;$C437,'Smelter Reference List'!$J:$J,0))</f>
        <v>#N/A</v>
      </c>
      <c r="T437" s="229"/>
      <c r="U437" s="229">
        <f t="shared" ca="1" si="14"/>
        <v>0</v>
      </c>
      <c r="V437" s="229"/>
      <c r="W437" s="229"/>
      <c r="Y437" s="223" t="str">
        <f t="shared" si="15"/>
        <v/>
      </c>
    </row>
    <row r="438" spans="1:25" s="223" customFormat="1" ht="20.25">
      <c r="A438" s="291"/>
      <c r="B438" s="292" t="str">
        <f>IF(LEN(A438)=0,"",INDEX('Smelter Reference List'!$A:$A,MATCH($A438,'Smelter Reference List'!$E:$E,0)))</f>
        <v/>
      </c>
      <c r="C438" s="298" t="str">
        <f>IF(LEN(A438)=0,"",INDEX('Smelter Reference List'!$C:$C,MATCH($A438,'Smelter Reference List'!$E:$E,0)))</f>
        <v/>
      </c>
      <c r="D438" s="292" t="str">
        <f ca="1">IF(ISERROR($S438),"",OFFSET('Smelter Reference List'!$C$4,$S438-4,0)&amp;"")</f>
        <v/>
      </c>
      <c r="E438" s="292" t="str">
        <f ca="1">IF(ISERROR($S438),"",OFFSET('Smelter Reference List'!$D$4,$S438-4,0)&amp;"")</f>
        <v/>
      </c>
      <c r="F438" s="292" t="str">
        <f ca="1">IF(ISERROR($S438),"",OFFSET('Smelter Reference List'!$E$4,$S438-4,0))</f>
        <v/>
      </c>
      <c r="G438" s="292" t="str">
        <f ca="1">IF(C438=$U$4,"Enter smelter details", IF(ISERROR($S438),"",OFFSET('Smelter Reference List'!$F$4,$S438-4,0)))</f>
        <v/>
      </c>
      <c r="H438" s="293" t="str">
        <f ca="1">IF(ISERROR($S438),"",OFFSET('Smelter Reference List'!$G$4,$S438-4,0))</f>
        <v/>
      </c>
      <c r="I438" s="294" t="str">
        <f ca="1">IF(ISERROR($S438),"",OFFSET('Smelter Reference List'!$H$4,$S438-4,0))</f>
        <v/>
      </c>
      <c r="J438" s="294" t="str">
        <f ca="1">IF(ISERROR($S438),"",OFFSET('Smelter Reference List'!$I$4,$S438-4,0))</f>
        <v/>
      </c>
      <c r="K438" s="295"/>
      <c r="L438" s="295"/>
      <c r="M438" s="295"/>
      <c r="N438" s="295"/>
      <c r="O438" s="295"/>
      <c r="P438" s="295"/>
      <c r="Q438" s="296"/>
      <c r="R438" s="227"/>
      <c r="S438" s="228" t="e">
        <f>IF(C438="",NA(),MATCH($B438&amp;$C438,'Smelter Reference List'!$J:$J,0))</f>
        <v>#N/A</v>
      </c>
      <c r="T438" s="229"/>
      <c r="U438" s="229">
        <f t="shared" ca="1" si="14"/>
        <v>0</v>
      </c>
      <c r="V438" s="229"/>
      <c r="W438" s="229"/>
      <c r="Y438" s="223" t="str">
        <f t="shared" si="15"/>
        <v/>
      </c>
    </row>
    <row r="439" spans="1:25" s="223" customFormat="1" ht="20.25">
      <c r="A439" s="291"/>
      <c r="B439" s="292" t="str">
        <f>IF(LEN(A439)=0,"",INDEX('Smelter Reference List'!$A:$A,MATCH($A439,'Smelter Reference List'!$E:$E,0)))</f>
        <v/>
      </c>
      <c r="C439" s="298" t="str">
        <f>IF(LEN(A439)=0,"",INDEX('Smelter Reference List'!$C:$C,MATCH($A439,'Smelter Reference List'!$E:$E,0)))</f>
        <v/>
      </c>
      <c r="D439" s="292" t="str">
        <f ca="1">IF(ISERROR($S439),"",OFFSET('Smelter Reference List'!$C$4,$S439-4,0)&amp;"")</f>
        <v/>
      </c>
      <c r="E439" s="292" t="str">
        <f ca="1">IF(ISERROR($S439),"",OFFSET('Smelter Reference List'!$D$4,$S439-4,0)&amp;"")</f>
        <v/>
      </c>
      <c r="F439" s="292" t="str">
        <f ca="1">IF(ISERROR($S439),"",OFFSET('Smelter Reference List'!$E$4,$S439-4,0))</f>
        <v/>
      </c>
      <c r="G439" s="292" t="str">
        <f ca="1">IF(C439=$U$4,"Enter smelter details", IF(ISERROR($S439),"",OFFSET('Smelter Reference List'!$F$4,$S439-4,0)))</f>
        <v/>
      </c>
      <c r="H439" s="293" t="str">
        <f ca="1">IF(ISERROR($S439),"",OFFSET('Smelter Reference List'!$G$4,$S439-4,0))</f>
        <v/>
      </c>
      <c r="I439" s="294" t="str">
        <f ca="1">IF(ISERROR($S439),"",OFFSET('Smelter Reference List'!$H$4,$S439-4,0))</f>
        <v/>
      </c>
      <c r="J439" s="294" t="str">
        <f ca="1">IF(ISERROR($S439),"",OFFSET('Smelter Reference List'!$I$4,$S439-4,0))</f>
        <v/>
      </c>
      <c r="K439" s="295"/>
      <c r="L439" s="295"/>
      <c r="M439" s="295"/>
      <c r="N439" s="295"/>
      <c r="O439" s="295"/>
      <c r="P439" s="295"/>
      <c r="Q439" s="296"/>
      <c r="R439" s="227"/>
      <c r="S439" s="228" t="e">
        <f>IF(C439="",NA(),MATCH($B439&amp;$C439,'Smelter Reference List'!$J:$J,0))</f>
        <v>#N/A</v>
      </c>
      <c r="T439" s="229"/>
      <c r="U439" s="229">
        <f t="shared" ca="1" si="14"/>
        <v>0</v>
      </c>
      <c r="V439" s="229"/>
      <c r="W439" s="229"/>
      <c r="Y439" s="223" t="str">
        <f t="shared" si="15"/>
        <v/>
      </c>
    </row>
    <row r="440" spans="1:25" s="223" customFormat="1" ht="20.25">
      <c r="A440" s="291"/>
      <c r="B440" s="292" t="str">
        <f>IF(LEN(A440)=0,"",INDEX('Smelter Reference List'!$A:$A,MATCH($A440,'Smelter Reference List'!$E:$E,0)))</f>
        <v/>
      </c>
      <c r="C440" s="298" t="str">
        <f>IF(LEN(A440)=0,"",INDEX('Smelter Reference List'!$C:$C,MATCH($A440,'Smelter Reference List'!$E:$E,0)))</f>
        <v/>
      </c>
      <c r="D440" s="292" t="str">
        <f ca="1">IF(ISERROR($S440),"",OFFSET('Smelter Reference List'!$C$4,$S440-4,0)&amp;"")</f>
        <v/>
      </c>
      <c r="E440" s="292" t="str">
        <f ca="1">IF(ISERROR($S440),"",OFFSET('Smelter Reference List'!$D$4,$S440-4,0)&amp;"")</f>
        <v/>
      </c>
      <c r="F440" s="292" t="str">
        <f ca="1">IF(ISERROR($S440),"",OFFSET('Smelter Reference List'!$E$4,$S440-4,0))</f>
        <v/>
      </c>
      <c r="G440" s="292" t="str">
        <f ca="1">IF(C440=$U$4,"Enter smelter details", IF(ISERROR($S440),"",OFFSET('Smelter Reference List'!$F$4,$S440-4,0)))</f>
        <v/>
      </c>
      <c r="H440" s="293" t="str">
        <f ca="1">IF(ISERROR($S440),"",OFFSET('Smelter Reference List'!$G$4,$S440-4,0))</f>
        <v/>
      </c>
      <c r="I440" s="294" t="str">
        <f ca="1">IF(ISERROR($S440),"",OFFSET('Smelter Reference List'!$H$4,$S440-4,0))</f>
        <v/>
      </c>
      <c r="J440" s="294" t="str">
        <f ca="1">IF(ISERROR($S440),"",OFFSET('Smelter Reference List'!$I$4,$S440-4,0))</f>
        <v/>
      </c>
      <c r="K440" s="295"/>
      <c r="L440" s="295"/>
      <c r="M440" s="295"/>
      <c r="N440" s="295"/>
      <c r="O440" s="295"/>
      <c r="P440" s="295"/>
      <c r="Q440" s="296"/>
      <c r="R440" s="227"/>
      <c r="S440" s="228" t="e">
        <f>IF(C440="",NA(),MATCH($B440&amp;$C440,'Smelter Reference List'!$J:$J,0))</f>
        <v>#N/A</v>
      </c>
      <c r="T440" s="229"/>
      <c r="U440" s="229">
        <f t="shared" ca="1" si="14"/>
        <v>0</v>
      </c>
      <c r="V440" s="229"/>
      <c r="W440" s="229"/>
      <c r="Y440" s="223" t="str">
        <f t="shared" si="15"/>
        <v/>
      </c>
    </row>
    <row r="441" spans="1:25" s="223" customFormat="1" ht="20.25">
      <c r="A441" s="291"/>
      <c r="B441" s="292" t="str">
        <f>IF(LEN(A441)=0,"",INDEX('Smelter Reference List'!$A:$A,MATCH($A441,'Smelter Reference List'!$E:$E,0)))</f>
        <v/>
      </c>
      <c r="C441" s="298" t="str">
        <f>IF(LEN(A441)=0,"",INDEX('Smelter Reference List'!$C:$C,MATCH($A441,'Smelter Reference List'!$E:$E,0)))</f>
        <v/>
      </c>
      <c r="D441" s="292" t="str">
        <f ca="1">IF(ISERROR($S441),"",OFFSET('Smelter Reference List'!$C$4,$S441-4,0)&amp;"")</f>
        <v/>
      </c>
      <c r="E441" s="292" t="str">
        <f ca="1">IF(ISERROR($S441),"",OFFSET('Smelter Reference List'!$D$4,$S441-4,0)&amp;"")</f>
        <v/>
      </c>
      <c r="F441" s="292" t="str">
        <f ca="1">IF(ISERROR($S441),"",OFFSET('Smelter Reference List'!$E$4,$S441-4,0))</f>
        <v/>
      </c>
      <c r="G441" s="292" t="str">
        <f ca="1">IF(C441=$U$4,"Enter smelter details", IF(ISERROR($S441),"",OFFSET('Smelter Reference List'!$F$4,$S441-4,0)))</f>
        <v/>
      </c>
      <c r="H441" s="293" t="str">
        <f ca="1">IF(ISERROR($S441),"",OFFSET('Smelter Reference List'!$G$4,$S441-4,0))</f>
        <v/>
      </c>
      <c r="I441" s="294" t="str">
        <f ca="1">IF(ISERROR($S441),"",OFFSET('Smelter Reference List'!$H$4,$S441-4,0))</f>
        <v/>
      </c>
      <c r="J441" s="294" t="str">
        <f ca="1">IF(ISERROR($S441),"",OFFSET('Smelter Reference List'!$I$4,$S441-4,0))</f>
        <v/>
      </c>
      <c r="K441" s="295"/>
      <c r="L441" s="295"/>
      <c r="M441" s="295"/>
      <c r="N441" s="295"/>
      <c r="O441" s="295"/>
      <c r="P441" s="295"/>
      <c r="Q441" s="296"/>
      <c r="R441" s="227"/>
      <c r="S441" s="228" t="e">
        <f>IF(C441="",NA(),MATCH($B441&amp;$C441,'Smelter Reference List'!$J:$J,0))</f>
        <v>#N/A</v>
      </c>
      <c r="T441" s="229"/>
      <c r="U441" s="229">
        <f t="shared" ca="1" si="14"/>
        <v>0</v>
      </c>
      <c r="V441" s="229"/>
      <c r="W441" s="229"/>
      <c r="Y441" s="223" t="str">
        <f t="shared" si="15"/>
        <v/>
      </c>
    </row>
    <row r="442" spans="1:25" s="223" customFormat="1" ht="20.25">
      <c r="A442" s="291"/>
      <c r="B442" s="292" t="str">
        <f>IF(LEN(A442)=0,"",INDEX('Smelter Reference List'!$A:$A,MATCH($A442,'Smelter Reference List'!$E:$E,0)))</f>
        <v/>
      </c>
      <c r="C442" s="298" t="str">
        <f>IF(LEN(A442)=0,"",INDEX('Smelter Reference List'!$C:$C,MATCH($A442,'Smelter Reference List'!$E:$E,0)))</f>
        <v/>
      </c>
      <c r="D442" s="292" t="str">
        <f ca="1">IF(ISERROR($S442),"",OFFSET('Smelter Reference List'!$C$4,$S442-4,0)&amp;"")</f>
        <v/>
      </c>
      <c r="E442" s="292" t="str">
        <f ca="1">IF(ISERROR($S442),"",OFFSET('Smelter Reference List'!$D$4,$S442-4,0)&amp;"")</f>
        <v/>
      </c>
      <c r="F442" s="292" t="str">
        <f ca="1">IF(ISERROR($S442),"",OFFSET('Smelter Reference List'!$E$4,$S442-4,0))</f>
        <v/>
      </c>
      <c r="G442" s="292" t="str">
        <f ca="1">IF(C442=$U$4,"Enter smelter details", IF(ISERROR($S442),"",OFFSET('Smelter Reference List'!$F$4,$S442-4,0)))</f>
        <v/>
      </c>
      <c r="H442" s="293" t="str">
        <f ca="1">IF(ISERROR($S442),"",OFFSET('Smelter Reference List'!$G$4,$S442-4,0))</f>
        <v/>
      </c>
      <c r="I442" s="294" t="str">
        <f ca="1">IF(ISERROR($S442),"",OFFSET('Smelter Reference List'!$H$4,$S442-4,0))</f>
        <v/>
      </c>
      <c r="J442" s="294" t="str">
        <f ca="1">IF(ISERROR($S442),"",OFFSET('Smelter Reference List'!$I$4,$S442-4,0))</f>
        <v/>
      </c>
      <c r="K442" s="295"/>
      <c r="L442" s="295"/>
      <c r="M442" s="295"/>
      <c r="N442" s="295"/>
      <c r="O442" s="295"/>
      <c r="P442" s="295"/>
      <c r="Q442" s="296"/>
      <c r="R442" s="227"/>
      <c r="S442" s="228" t="e">
        <f>IF(C442="",NA(),MATCH($B442&amp;$C442,'Smelter Reference List'!$J:$J,0))</f>
        <v>#N/A</v>
      </c>
      <c r="T442" s="229"/>
      <c r="U442" s="229">
        <f t="shared" ca="1" si="14"/>
        <v>0</v>
      </c>
      <c r="V442" s="229"/>
      <c r="W442" s="229"/>
      <c r="Y442" s="223" t="str">
        <f t="shared" si="15"/>
        <v/>
      </c>
    </row>
    <row r="443" spans="1:25" s="223" customFormat="1" ht="20.25">
      <c r="A443" s="291"/>
      <c r="B443" s="292" t="str">
        <f>IF(LEN(A443)=0,"",INDEX('Smelter Reference List'!$A:$A,MATCH($A443,'Smelter Reference List'!$E:$E,0)))</f>
        <v/>
      </c>
      <c r="C443" s="298" t="str">
        <f>IF(LEN(A443)=0,"",INDEX('Smelter Reference List'!$C:$C,MATCH($A443,'Smelter Reference List'!$E:$E,0)))</f>
        <v/>
      </c>
      <c r="D443" s="292" t="str">
        <f ca="1">IF(ISERROR($S443),"",OFFSET('Smelter Reference List'!$C$4,$S443-4,0)&amp;"")</f>
        <v/>
      </c>
      <c r="E443" s="292" t="str">
        <f ca="1">IF(ISERROR($S443),"",OFFSET('Smelter Reference List'!$D$4,$S443-4,0)&amp;"")</f>
        <v/>
      </c>
      <c r="F443" s="292" t="str">
        <f ca="1">IF(ISERROR($S443),"",OFFSET('Smelter Reference List'!$E$4,$S443-4,0))</f>
        <v/>
      </c>
      <c r="G443" s="292" t="str">
        <f ca="1">IF(C443=$U$4,"Enter smelter details", IF(ISERROR($S443),"",OFFSET('Smelter Reference List'!$F$4,$S443-4,0)))</f>
        <v/>
      </c>
      <c r="H443" s="293" t="str">
        <f ca="1">IF(ISERROR($S443),"",OFFSET('Smelter Reference List'!$G$4,$S443-4,0))</f>
        <v/>
      </c>
      <c r="I443" s="294" t="str">
        <f ca="1">IF(ISERROR($S443),"",OFFSET('Smelter Reference List'!$H$4,$S443-4,0))</f>
        <v/>
      </c>
      <c r="J443" s="294" t="str">
        <f ca="1">IF(ISERROR($S443),"",OFFSET('Smelter Reference List'!$I$4,$S443-4,0))</f>
        <v/>
      </c>
      <c r="K443" s="295"/>
      <c r="L443" s="295"/>
      <c r="M443" s="295"/>
      <c r="N443" s="295"/>
      <c r="O443" s="295"/>
      <c r="P443" s="295"/>
      <c r="Q443" s="296"/>
      <c r="R443" s="227"/>
      <c r="S443" s="228" t="e">
        <f>IF(C443="",NA(),MATCH($B443&amp;$C443,'Smelter Reference List'!$J:$J,0))</f>
        <v>#N/A</v>
      </c>
      <c r="T443" s="229"/>
      <c r="U443" s="229">
        <f t="shared" ca="1" si="14"/>
        <v>0</v>
      </c>
      <c r="V443" s="229"/>
      <c r="W443" s="229"/>
      <c r="Y443" s="223" t="str">
        <f t="shared" si="15"/>
        <v/>
      </c>
    </row>
    <row r="444" spans="1:25" s="223" customFormat="1" ht="20.25">
      <c r="A444" s="291"/>
      <c r="B444" s="292" t="str">
        <f>IF(LEN(A444)=0,"",INDEX('Smelter Reference List'!$A:$A,MATCH($A444,'Smelter Reference List'!$E:$E,0)))</f>
        <v/>
      </c>
      <c r="C444" s="298" t="str">
        <f>IF(LEN(A444)=0,"",INDEX('Smelter Reference List'!$C:$C,MATCH($A444,'Smelter Reference List'!$E:$E,0)))</f>
        <v/>
      </c>
      <c r="D444" s="292" t="str">
        <f ca="1">IF(ISERROR($S444),"",OFFSET('Smelter Reference List'!$C$4,$S444-4,0)&amp;"")</f>
        <v/>
      </c>
      <c r="E444" s="292" t="str">
        <f ca="1">IF(ISERROR($S444),"",OFFSET('Smelter Reference List'!$D$4,$S444-4,0)&amp;"")</f>
        <v/>
      </c>
      <c r="F444" s="292" t="str">
        <f ca="1">IF(ISERROR($S444),"",OFFSET('Smelter Reference List'!$E$4,$S444-4,0))</f>
        <v/>
      </c>
      <c r="G444" s="292" t="str">
        <f ca="1">IF(C444=$U$4,"Enter smelter details", IF(ISERROR($S444),"",OFFSET('Smelter Reference List'!$F$4,$S444-4,0)))</f>
        <v/>
      </c>
      <c r="H444" s="293" t="str">
        <f ca="1">IF(ISERROR($S444),"",OFFSET('Smelter Reference List'!$G$4,$S444-4,0))</f>
        <v/>
      </c>
      <c r="I444" s="294" t="str">
        <f ca="1">IF(ISERROR($S444),"",OFFSET('Smelter Reference List'!$H$4,$S444-4,0))</f>
        <v/>
      </c>
      <c r="J444" s="294" t="str">
        <f ca="1">IF(ISERROR($S444),"",OFFSET('Smelter Reference List'!$I$4,$S444-4,0))</f>
        <v/>
      </c>
      <c r="K444" s="295"/>
      <c r="L444" s="295"/>
      <c r="M444" s="295"/>
      <c r="N444" s="295"/>
      <c r="O444" s="295"/>
      <c r="P444" s="295"/>
      <c r="Q444" s="296"/>
      <c r="R444" s="227"/>
      <c r="S444" s="228" t="e">
        <f>IF(C444="",NA(),MATCH($B444&amp;$C444,'Smelter Reference List'!$J:$J,0))</f>
        <v>#N/A</v>
      </c>
      <c r="T444" s="229"/>
      <c r="U444" s="229">
        <f t="shared" ca="1" si="14"/>
        <v>0</v>
      </c>
      <c r="V444" s="229"/>
      <c r="W444" s="229"/>
      <c r="Y444" s="223" t="str">
        <f t="shared" si="15"/>
        <v/>
      </c>
    </row>
    <row r="445" spans="1:25" s="223" customFormat="1" ht="20.25">
      <c r="A445" s="291"/>
      <c r="B445" s="292" t="str">
        <f>IF(LEN(A445)=0,"",INDEX('Smelter Reference List'!$A:$A,MATCH($A445,'Smelter Reference List'!$E:$E,0)))</f>
        <v/>
      </c>
      <c r="C445" s="298" t="str">
        <f>IF(LEN(A445)=0,"",INDEX('Smelter Reference List'!$C:$C,MATCH($A445,'Smelter Reference List'!$E:$E,0)))</f>
        <v/>
      </c>
      <c r="D445" s="292" t="str">
        <f ca="1">IF(ISERROR($S445),"",OFFSET('Smelter Reference List'!$C$4,$S445-4,0)&amp;"")</f>
        <v/>
      </c>
      <c r="E445" s="292" t="str">
        <f ca="1">IF(ISERROR($S445),"",OFFSET('Smelter Reference List'!$D$4,$S445-4,0)&amp;"")</f>
        <v/>
      </c>
      <c r="F445" s="292" t="str">
        <f ca="1">IF(ISERROR($S445),"",OFFSET('Smelter Reference List'!$E$4,$S445-4,0))</f>
        <v/>
      </c>
      <c r="G445" s="292" t="str">
        <f ca="1">IF(C445=$U$4,"Enter smelter details", IF(ISERROR($S445),"",OFFSET('Smelter Reference List'!$F$4,$S445-4,0)))</f>
        <v/>
      </c>
      <c r="H445" s="293" t="str">
        <f ca="1">IF(ISERROR($S445),"",OFFSET('Smelter Reference List'!$G$4,$S445-4,0))</f>
        <v/>
      </c>
      <c r="I445" s="294" t="str">
        <f ca="1">IF(ISERROR($S445),"",OFFSET('Smelter Reference List'!$H$4,$S445-4,0))</f>
        <v/>
      </c>
      <c r="J445" s="294" t="str">
        <f ca="1">IF(ISERROR($S445),"",OFFSET('Smelter Reference List'!$I$4,$S445-4,0))</f>
        <v/>
      </c>
      <c r="K445" s="295"/>
      <c r="L445" s="295"/>
      <c r="M445" s="295"/>
      <c r="N445" s="295"/>
      <c r="O445" s="295"/>
      <c r="P445" s="295"/>
      <c r="Q445" s="296"/>
      <c r="R445" s="227"/>
      <c r="S445" s="228" t="e">
        <f>IF(C445="",NA(),MATCH($B445&amp;$C445,'Smelter Reference List'!$J:$J,0))</f>
        <v>#N/A</v>
      </c>
      <c r="T445" s="229"/>
      <c r="U445" s="229">
        <f t="shared" ca="1" si="14"/>
        <v>0</v>
      </c>
      <c r="V445" s="229"/>
      <c r="W445" s="229"/>
      <c r="Y445" s="223" t="str">
        <f t="shared" si="15"/>
        <v/>
      </c>
    </row>
    <row r="446" spans="1:25" s="223" customFormat="1" ht="20.25">
      <c r="A446" s="291"/>
      <c r="B446" s="292" t="str">
        <f>IF(LEN(A446)=0,"",INDEX('Smelter Reference List'!$A:$A,MATCH($A446,'Smelter Reference List'!$E:$E,0)))</f>
        <v/>
      </c>
      <c r="C446" s="298" t="str">
        <f>IF(LEN(A446)=0,"",INDEX('Smelter Reference List'!$C:$C,MATCH($A446,'Smelter Reference List'!$E:$E,0)))</f>
        <v/>
      </c>
      <c r="D446" s="292" t="str">
        <f ca="1">IF(ISERROR($S446),"",OFFSET('Smelter Reference List'!$C$4,$S446-4,0)&amp;"")</f>
        <v/>
      </c>
      <c r="E446" s="292" t="str">
        <f ca="1">IF(ISERROR($S446),"",OFFSET('Smelter Reference List'!$D$4,$S446-4,0)&amp;"")</f>
        <v/>
      </c>
      <c r="F446" s="292" t="str">
        <f ca="1">IF(ISERROR($S446),"",OFFSET('Smelter Reference List'!$E$4,$S446-4,0))</f>
        <v/>
      </c>
      <c r="G446" s="292" t="str">
        <f ca="1">IF(C446=$U$4,"Enter smelter details", IF(ISERROR($S446),"",OFFSET('Smelter Reference List'!$F$4,$S446-4,0)))</f>
        <v/>
      </c>
      <c r="H446" s="293" t="str">
        <f ca="1">IF(ISERROR($S446),"",OFFSET('Smelter Reference List'!$G$4,$S446-4,0))</f>
        <v/>
      </c>
      <c r="I446" s="294" t="str">
        <f ca="1">IF(ISERROR($S446),"",OFFSET('Smelter Reference List'!$H$4,$S446-4,0))</f>
        <v/>
      </c>
      <c r="J446" s="294" t="str">
        <f ca="1">IF(ISERROR($S446),"",OFFSET('Smelter Reference List'!$I$4,$S446-4,0))</f>
        <v/>
      </c>
      <c r="K446" s="295"/>
      <c r="L446" s="295"/>
      <c r="M446" s="295"/>
      <c r="N446" s="295"/>
      <c r="O446" s="295"/>
      <c r="P446" s="295"/>
      <c r="Q446" s="296"/>
      <c r="R446" s="227"/>
      <c r="S446" s="228" t="e">
        <f>IF(C446="",NA(),MATCH($B446&amp;$C446,'Smelter Reference List'!$J:$J,0))</f>
        <v>#N/A</v>
      </c>
      <c r="T446" s="229"/>
      <c r="U446" s="229">
        <f t="shared" ca="1" si="14"/>
        <v>0</v>
      </c>
      <c r="V446" s="229"/>
      <c r="W446" s="229"/>
      <c r="Y446" s="223" t="str">
        <f t="shared" si="15"/>
        <v/>
      </c>
    </row>
    <row r="447" spans="1:25" s="223" customFormat="1" ht="20.25">
      <c r="A447" s="291"/>
      <c r="B447" s="292" t="str">
        <f>IF(LEN(A447)=0,"",INDEX('Smelter Reference List'!$A:$A,MATCH($A447,'Smelter Reference List'!$E:$E,0)))</f>
        <v/>
      </c>
      <c r="C447" s="298" t="str">
        <f>IF(LEN(A447)=0,"",INDEX('Smelter Reference List'!$C:$C,MATCH($A447,'Smelter Reference List'!$E:$E,0)))</f>
        <v/>
      </c>
      <c r="D447" s="292" t="str">
        <f ca="1">IF(ISERROR($S447),"",OFFSET('Smelter Reference List'!$C$4,$S447-4,0)&amp;"")</f>
        <v/>
      </c>
      <c r="E447" s="292" t="str">
        <f ca="1">IF(ISERROR($S447),"",OFFSET('Smelter Reference List'!$D$4,$S447-4,0)&amp;"")</f>
        <v/>
      </c>
      <c r="F447" s="292" t="str">
        <f ca="1">IF(ISERROR($S447),"",OFFSET('Smelter Reference List'!$E$4,$S447-4,0))</f>
        <v/>
      </c>
      <c r="G447" s="292" t="str">
        <f ca="1">IF(C447=$U$4,"Enter smelter details", IF(ISERROR($S447),"",OFFSET('Smelter Reference List'!$F$4,$S447-4,0)))</f>
        <v/>
      </c>
      <c r="H447" s="293" t="str">
        <f ca="1">IF(ISERROR($S447),"",OFFSET('Smelter Reference List'!$G$4,$S447-4,0))</f>
        <v/>
      </c>
      <c r="I447" s="294" t="str">
        <f ca="1">IF(ISERROR($S447),"",OFFSET('Smelter Reference List'!$H$4,$S447-4,0))</f>
        <v/>
      </c>
      <c r="J447" s="294" t="str">
        <f ca="1">IF(ISERROR($S447),"",OFFSET('Smelter Reference List'!$I$4,$S447-4,0))</f>
        <v/>
      </c>
      <c r="K447" s="295"/>
      <c r="L447" s="295"/>
      <c r="M447" s="295"/>
      <c r="N447" s="295"/>
      <c r="O447" s="295"/>
      <c r="P447" s="295"/>
      <c r="Q447" s="296"/>
      <c r="R447" s="227"/>
      <c r="S447" s="228" t="e">
        <f>IF(C447="",NA(),MATCH($B447&amp;$C447,'Smelter Reference List'!$J:$J,0))</f>
        <v>#N/A</v>
      </c>
      <c r="T447" s="229"/>
      <c r="U447" s="229">
        <f t="shared" ca="1" si="14"/>
        <v>0</v>
      </c>
      <c r="V447" s="229"/>
      <c r="W447" s="229"/>
      <c r="Y447" s="223" t="str">
        <f t="shared" si="15"/>
        <v/>
      </c>
    </row>
    <row r="448" spans="1:25" s="223" customFormat="1" ht="20.25">
      <c r="A448" s="291"/>
      <c r="B448" s="292" t="str">
        <f>IF(LEN(A448)=0,"",INDEX('Smelter Reference List'!$A:$A,MATCH($A448,'Smelter Reference List'!$E:$E,0)))</f>
        <v/>
      </c>
      <c r="C448" s="298" t="str">
        <f>IF(LEN(A448)=0,"",INDEX('Smelter Reference List'!$C:$C,MATCH($A448,'Smelter Reference List'!$E:$E,0)))</f>
        <v/>
      </c>
      <c r="D448" s="292" t="str">
        <f ca="1">IF(ISERROR($S448),"",OFFSET('Smelter Reference List'!$C$4,$S448-4,0)&amp;"")</f>
        <v/>
      </c>
      <c r="E448" s="292" t="str">
        <f ca="1">IF(ISERROR($S448),"",OFFSET('Smelter Reference List'!$D$4,$S448-4,0)&amp;"")</f>
        <v/>
      </c>
      <c r="F448" s="292" t="str">
        <f ca="1">IF(ISERROR($S448),"",OFFSET('Smelter Reference List'!$E$4,$S448-4,0))</f>
        <v/>
      </c>
      <c r="G448" s="292" t="str">
        <f ca="1">IF(C448=$U$4,"Enter smelter details", IF(ISERROR($S448),"",OFFSET('Smelter Reference List'!$F$4,$S448-4,0)))</f>
        <v/>
      </c>
      <c r="H448" s="293" t="str">
        <f ca="1">IF(ISERROR($S448),"",OFFSET('Smelter Reference List'!$G$4,$S448-4,0))</f>
        <v/>
      </c>
      <c r="I448" s="294" t="str">
        <f ca="1">IF(ISERROR($S448),"",OFFSET('Smelter Reference List'!$H$4,$S448-4,0))</f>
        <v/>
      </c>
      <c r="J448" s="294" t="str">
        <f ca="1">IF(ISERROR($S448),"",OFFSET('Smelter Reference List'!$I$4,$S448-4,0))</f>
        <v/>
      </c>
      <c r="K448" s="295"/>
      <c r="L448" s="295"/>
      <c r="M448" s="295"/>
      <c r="N448" s="295"/>
      <c r="O448" s="295"/>
      <c r="P448" s="295"/>
      <c r="Q448" s="296"/>
      <c r="R448" s="227"/>
      <c r="S448" s="228" t="e">
        <f>IF(C448="",NA(),MATCH($B448&amp;$C448,'Smelter Reference List'!$J:$J,0))</f>
        <v>#N/A</v>
      </c>
      <c r="T448" s="229"/>
      <c r="U448" s="229">
        <f t="shared" ca="1" si="14"/>
        <v>0</v>
      </c>
      <c r="V448" s="229"/>
      <c r="W448" s="229"/>
      <c r="Y448" s="223" t="str">
        <f t="shared" si="15"/>
        <v/>
      </c>
    </row>
    <row r="449" spans="1:25" s="223" customFormat="1" ht="20.25">
      <c r="A449" s="291"/>
      <c r="B449" s="292" t="str">
        <f>IF(LEN(A449)=0,"",INDEX('Smelter Reference List'!$A:$A,MATCH($A449,'Smelter Reference List'!$E:$E,0)))</f>
        <v/>
      </c>
      <c r="C449" s="298" t="str">
        <f>IF(LEN(A449)=0,"",INDEX('Smelter Reference List'!$C:$C,MATCH($A449,'Smelter Reference List'!$E:$E,0)))</f>
        <v/>
      </c>
      <c r="D449" s="292" t="str">
        <f ca="1">IF(ISERROR($S449),"",OFFSET('Smelter Reference List'!$C$4,$S449-4,0)&amp;"")</f>
        <v/>
      </c>
      <c r="E449" s="292" t="str">
        <f ca="1">IF(ISERROR($S449),"",OFFSET('Smelter Reference List'!$D$4,$S449-4,0)&amp;"")</f>
        <v/>
      </c>
      <c r="F449" s="292" t="str">
        <f ca="1">IF(ISERROR($S449),"",OFFSET('Smelter Reference List'!$E$4,$S449-4,0))</f>
        <v/>
      </c>
      <c r="G449" s="292" t="str">
        <f ca="1">IF(C449=$U$4,"Enter smelter details", IF(ISERROR($S449),"",OFFSET('Smelter Reference List'!$F$4,$S449-4,0)))</f>
        <v/>
      </c>
      <c r="H449" s="293" t="str">
        <f ca="1">IF(ISERROR($S449),"",OFFSET('Smelter Reference List'!$G$4,$S449-4,0))</f>
        <v/>
      </c>
      <c r="I449" s="294" t="str">
        <f ca="1">IF(ISERROR($S449),"",OFFSET('Smelter Reference List'!$H$4,$S449-4,0))</f>
        <v/>
      </c>
      <c r="J449" s="294" t="str">
        <f ca="1">IF(ISERROR($S449),"",OFFSET('Smelter Reference List'!$I$4,$S449-4,0))</f>
        <v/>
      </c>
      <c r="K449" s="295"/>
      <c r="L449" s="295"/>
      <c r="M449" s="295"/>
      <c r="N449" s="295"/>
      <c r="O449" s="295"/>
      <c r="P449" s="295"/>
      <c r="Q449" s="296"/>
      <c r="R449" s="227"/>
      <c r="S449" s="228" t="e">
        <f>IF(C449="",NA(),MATCH($B449&amp;$C449,'Smelter Reference List'!$J:$J,0))</f>
        <v>#N/A</v>
      </c>
      <c r="T449" s="229"/>
      <c r="U449" s="229">
        <f t="shared" ca="1" si="14"/>
        <v>0</v>
      </c>
      <c r="V449" s="229"/>
      <c r="W449" s="229"/>
      <c r="Y449" s="223" t="str">
        <f t="shared" si="15"/>
        <v/>
      </c>
    </row>
    <row r="450" spans="1:25" s="223" customFormat="1" ht="20.25">
      <c r="A450" s="291"/>
      <c r="B450" s="292" t="str">
        <f>IF(LEN(A450)=0,"",INDEX('Smelter Reference List'!$A:$A,MATCH($A450,'Smelter Reference List'!$E:$E,0)))</f>
        <v/>
      </c>
      <c r="C450" s="298" t="str">
        <f>IF(LEN(A450)=0,"",INDEX('Smelter Reference List'!$C:$C,MATCH($A450,'Smelter Reference List'!$E:$E,0)))</f>
        <v/>
      </c>
      <c r="D450" s="292" t="str">
        <f ca="1">IF(ISERROR($S450),"",OFFSET('Smelter Reference List'!$C$4,$S450-4,0)&amp;"")</f>
        <v/>
      </c>
      <c r="E450" s="292" t="str">
        <f ca="1">IF(ISERROR($S450),"",OFFSET('Smelter Reference List'!$D$4,$S450-4,0)&amp;"")</f>
        <v/>
      </c>
      <c r="F450" s="292" t="str">
        <f ca="1">IF(ISERROR($S450),"",OFFSET('Smelter Reference List'!$E$4,$S450-4,0))</f>
        <v/>
      </c>
      <c r="G450" s="292" t="str">
        <f ca="1">IF(C450=$U$4,"Enter smelter details", IF(ISERROR($S450),"",OFFSET('Smelter Reference List'!$F$4,$S450-4,0)))</f>
        <v/>
      </c>
      <c r="H450" s="293" t="str">
        <f ca="1">IF(ISERROR($S450),"",OFFSET('Smelter Reference List'!$G$4,$S450-4,0))</f>
        <v/>
      </c>
      <c r="I450" s="294" t="str">
        <f ca="1">IF(ISERROR($S450),"",OFFSET('Smelter Reference List'!$H$4,$S450-4,0))</f>
        <v/>
      </c>
      <c r="J450" s="294" t="str">
        <f ca="1">IF(ISERROR($S450),"",OFFSET('Smelter Reference List'!$I$4,$S450-4,0))</f>
        <v/>
      </c>
      <c r="K450" s="295"/>
      <c r="L450" s="295"/>
      <c r="M450" s="295"/>
      <c r="N450" s="295"/>
      <c r="O450" s="295"/>
      <c r="P450" s="295"/>
      <c r="Q450" s="296"/>
      <c r="R450" s="227"/>
      <c r="S450" s="228" t="e">
        <f>IF(C450="",NA(),MATCH($B450&amp;$C450,'Smelter Reference List'!$J:$J,0))</f>
        <v>#N/A</v>
      </c>
      <c r="T450" s="229"/>
      <c r="U450" s="229">
        <f t="shared" ca="1" si="14"/>
        <v>0</v>
      </c>
      <c r="V450" s="229"/>
      <c r="W450" s="229"/>
      <c r="Y450" s="223" t="str">
        <f t="shared" si="15"/>
        <v/>
      </c>
    </row>
    <row r="451" spans="1:25" s="223" customFormat="1" ht="20.25">
      <c r="A451" s="291"/>
      <c r="B451" s="292" t="str">
        <f>IF(LEN(A451)=0,"",INDEX('Smelter Reference List'!$A:$A,MATCH($A451,'Smelter Reference List'!$E:$E,0)))</f>
        <v/>
      </c>
      <c r="C451" s="298" t="str">
        <f>IF(LEN(A451)=0,"",INDEX('Smelter Reference List'!$C:$C,MATCH($A451,'Smelter Reference List'!$E:$E,0)))</f>
        <v/>
      </c>
      <c r="D451" s="292" t="str">
        <f ca="1">IF(ISERROR($S451),"",OFFSET('Smelter Reference List'!$C$4,$S451-4,0)&amp;"")</f>
        <v/>
      </c>
      <c r="E451" s="292" t="str">
        <f ca="1">IF(ISERROR($S451),"",OFFSET('Smelter Reference List'!$D$4,$S451-4,0)&amp;"")</f>
        <v/>
      </c>
      <c r="F451" s="292" t="str">
        <f ca="1">IF(ISERROR($S451),"",OFFSET('Smelter Reference List'!$E$4,$S451-4,0))</f>
        <v/>
      </c>
      <c r="G451" s="292" t="str">
        <f ca="1">IF(C451=$U$4,"Enter smelter details", IF(ISERROR($S451),"",OFFSET('Smelter Reference List'!$F$4,$S451-4,0)))</f>
        <v/>
      </c>
      <c r="H451" s="293" t="str">
        <f ca="1">IF(ISERROR($S451),"",OFFSET('Smelter Reference List'!$G$4,$S451-4,0))</f>
        <v/>
      </c>
      <c r="I451" s="294" t="str">
        <f ca="1">IF(ISERROR($S451),"",OFFSET('Smelter Reference List'!$H$4,$S451-4,0))</f>
        <v/>
      </c>
      <c r="J451" s="294" t="str">
        <f ca="1">IF(ISERROR($S451),"",OFFSET('Smelter Reference List'!$I$4,$S451-4,0))</f>
        <v/>
      </c>
      <c r="K451" s="295"/>
      <c r="L451" s="295"/>
      <c r="M451" s="295"/>
      <c r="N451" s="295"/>
      <c r="O451" s="295"/>
      <c r="P451" s="295"/>
      <c r="Q451" s="296"/>
      <c r="R451" s="227"/>
      <c r="S451" s="228" t="e">
        <f>IF(C451="",NA(),MATCH($B451&amp;$C451,'Smelter Reference List'!$J:$J,0))</f>
        <v>#N/A</v>
      </c>
      <c r="T451" s="229"/>
      <c r="U451" s="229">
        <f t="shared" ca="1" si="14"/>
        <v>0</v>
      </c>
      <c r="V451" s="229"/>
      <c r="W451" s="229"/>
      <c r="Y451" s="223" t="str">
        <f t="shared" si="15"/>
        <v/>
      </c>
    </row>
    <row r="452" spans="1:25" s="223" customFormat="1" ht="20.25">
      <c r="A452" s="291"/>
      <c r="B452" s="292" t="str">
        <f>IF(LEN(A452)=0,"",INDEX('Smelter Reference List'!$A:$A,MATCH($A452,'Smelter Reference List'!$E:$E,0)))</f>
        <v/>
      </c>
      <c r="C452" s="298" t="str">
        <f>IF(LEN(A452)=0,"",INDEX('Smelter Reference List'!$C:$C,MATCH($A452,'Smelter Reference List'!$E:$E,0)))</f>
        <v/>
      </c>
      <c r="D452" s="292" t="str">
        <f ca="1">IF(ISERROR($S452),"",OFFSET('Smelter Reference List'!$C$4,$S452-4,0)&amp;"")</f>
        <v/>
      </c>
      <c r="E452" s="292" t="str">
        <f ca="1">IF(ISERROR($S452),"",OFFSET('Smelter Reference List'!$D$4,$S452-4,0)&amp;"")</f>
        <v/>
      </c>
      <c r="F452" s="292" t="str">
        <f ca="1">IF(ISERROR($S452),"",OFFSET('Smelter Reference List'!$E$4,$S452-4,0))</f>
        <v/>
      </c>
      <c r="G452" s="292" t="str">
        <f ca="1">IF(C452=$U$4,"Enter smelter details", IF(ISERROR($S452),"",OFFSET('Smelter Reference List'!$F$4,$S452-4,0)))</f>
        <v/>
      </c>
      <c r="H452" s="293" t="str">
        <f ca="1">IF(ISERROR($S452),"",OFFSET('Smelter Reference List'!$G$4,$S452-4,0))</f>
        <v/>
      </c>
      <c r="I452" s="294" t="str">
        <f ca="1">IF(ISERROR($S452),"",OFFSET('Smelter Reference List'!$H$4,$S452-4,0))</f>
        <v/>
      </c>
      <c r="J452" s="294" t="str">
        <f ca="1">IF(ISERROR($S452),"",OFFSET('Smelter Reference List'!$I$4,$S452-4,0))</f>
        <v/>
      </c>
      <c r="K452" s="295"/>
      <c r="L452" s="295"/>
      <c r="M452" s="295"/>
      <c r="N452" s="295"/>
      <c r="O452" s="295"/>
      <c r="P452" s="295"/>
      <c r="Q452" s="296"/>
      <c r="R452" s="227"/>
      <c r="S452" s="228" t="e">
        <f>IF(C452="",NA(),MATCH($B452&amp;$C452,'Smelter Reference List'!$J:$J,0))</f>
        <v>#N/A</v>
      </c>
      <c r="T452" s="229"/>
      <c r="U452" s="229">
        <f t="shared" ca="1" si="14"/>
        <v>0</v>
      </c>
      <c r="V452" s="229"/>
      <c r="W452" s="229"/>
      <c r="Y452" s="223" t="str">
        <f t="shared" si="15"/>
        <v/>
      </c>
    </row>
    <row r="453" spans="1:25" s="223" customFormat="1" ht="20.25">
      <c r="A453" s="291"/>
      <c r="B453" s="292" t="str">
        <f>IF(LEN(A453)=0,"",INDEX('Smelter Reference List'!$A:$A,MATCH($A453,'Smelter Reference List'!$E:$E,0)))</f>
        <v/>
      </c>
      <c r="C453" s="298" t="str">
        <f>IF(LEN(A453)=0,"",INDEX('Smelter Reference List'!$C:$C,MATCH($A453,'Smelter Reference List'!$E:$E,0)))</f>
        <v/>
      </c>
      <c r="D453" s="292" t="str">
        <f ca="1">IF(ISERROR($S453),"",OFFSET('Smelter Reference List'!$C$4,$S453-4,0)&amp;"")</f>
        <v/>
      </c>
      <c r="E453" s="292" t="str">
        <f ca="1">IF(ISERROR($S453),"",OFFSET('Smelter Reference List'!$D$4,$S453-4,0)&amp;"")</f>
        <v/>
      </c>
      <c r="F453" s="292" t="str">
        <f ca="1">IF(ISERROR($S453),"",OFFSET('Smelter Reference List'!$E$4,$S453-4,0))</f>
        <v/>
      </c>
      <c r="G453" s="292" t="str">
        <f ca="1">IF(C453=$U$4,"Enter smelter details", IF(ISERROR($S453),"",OFFSET('Smelter Reference List'!$F$4,$S453-4,0)))</f>
        <v/>
      </c>
      <c r="H453" s="293" t="str">
        <f ca="1">IF(ISERROR($S453),"",OFFSET('Smelter Reference List'!$G$4,$S453-4,0))</f>
        <v/>
      </c>
      <c r="I453" s="294" t="str">
        <f ca="1">IF(ISERROR($S453),"",OFFSET('Smelter Reference List'!$H$4,$S453-4,0))</f>
        <v/>
      </c>
      <c r="J453" s="294" t="str">
        <f ca="1">IF(ISERROR($S453),"",OFFSET('Smelter Reference List'!$I$4,$S453-4,0))</f>
        <v/>
      </c>
      <c r="K453" s="295"/>
      <c r="L453" s="295"/>
      <c r="M453" s="295"/>
      <c r="N453" s="295"/>
      <c r="O453" s="295"/>
      <c r="P453" s="295"/>
      <c r="Q453" s="296"/>
      <c r="R453" s="227"/>
      <c r="S453" s="228" t="e">
        <f>IF(C453="",NA(),MATCH($B453&amp;$C453,'Smelter Reference List'!$J:$J,0))</f>
        <v>#N/A</v>
      </c>
      <c r="T453" s="229"/>
      <c r="U453" s="229">
        <f t="shared" ref="U453:U516" ca="1" si="16">IF(AND(C453="Smelter not listed",OR(LEN(D453)=0,LEN(E453)=0)),1,0)</f>
        <v>0</v>
      </c>
      <c r="V453" s="229"/>
      <c r="W453" s="229"/>
      <c r="Y453" s="223" t="str">
        <f t="shared" ref="Y453:Y516" si="17">B453&amp;C453</f>
        <v/>
      </c>
    </row>
    <row r="454" spans="1:25" s="223" customFormat="1" ht="20.25">
      <c r="A454" s="291"/>
      <c r="B454" s="292" t="str">
        <f>IF(LEN(A454)=0,"",INDEX('Smelter Reference List'!$A:$A,MATCH($A454,'Smelter Reference List'!$E:$E,0)))</f>
        <v/>
      </c>
      <c r="C454" s="298" t="str">
        <f>IF(LEN(A454)=0,"",INDEX('Smelter Reference List'!$C:$C,MATCH($A454,'Smelter Reference List'!$E:$E,0)))</f>
        <v/>
      </c>
      <c r="D454" s="292" t="str">
        <f ca="1">IF(ISERROR($S454),"",OFFSET('Smelter Reference List'!$C$4,$S454-4,0)&amp;"")</f>
        <v/>
      </c>
      <c r="E454" s="292" t="str">
        <f ca="1">IF(ISERROR($S454),"",OFFSET('Smelter Reference List'!$D$4,$S454-4,0)&amp;"")</f>
        <v/>
      </c>
      <c r="F454" s="292" t="str">
        <f ca="1">IF(ISERROR($S454),"",OFFSET('Smelter Reference List'!$E$4,$S454-4,0))</f>
        <v/>
      </c>
      <c r="G454" s="292" t="str">
        <f ca="1">IF(C454=$U$4,"Enter smelter details", IF(ISERROR($S454),"",OFFSET('Smelter Reference List'!$F$4,$S454-4,0)))</f>
        <v/>
      </c>
      <c r="H454" s="293" t="str">
        <f ca="1">IF(ISERROR($S454),"",OFFSET('Smelter Reference List'!$G$4,$S454-4,0))</f>
        <v/>
      </c>
      <c r="I454" s="294" t="str">
        <f ca="1">IF(ISERROR($S454),"",OFFSET('Smelter Reference List'!$H$4,$S454-4,0))</f>
        <v/>
      </c>
      <c r="J454" s="294" t="str">
        <f ca="1">IF(ISERROR($S454),"",OFFSET('Smelter Reference List'!$I$4,$S454-4,0))</f>
        <v/>
      </c>
      <c r="K454" s="295"/>
      <c r="L454" s="295"/>
      <c r="M454" s="295"/>
      <c r="N454" s="295"/>
      <c r="O454" s="295"/>
      <c r="P454" s="295"/>
      <c r="Q454" s="296"/>
      <c r="R454" s="227"/>
      <c r="S454" s="228" t="e">
        <f>IF(C454="",NA(),MATCH($B454&amp;$C454,'Smelter Reference List'!$J:$J,0))</f>
        <v>#N/A</v>
      </c>
      <c r="T454" s="229"/>
      <c r="U454" s="229">
        <f t="shared" ca="1" si="16"/>
        <v>0</v>
      </c>
      <c r="V454" s="229"/>
      <c r="W454" s="229"/>
      <c r="Y454" s="223" t="str">
        <f t="shared" si="17"/>
        <v/>
      </c>
    </row>
    <row r="455" spans="1:25" s="223" customFormat="1" ht="20.25">
      <c r="A455" s="291"/>
      <c r="B455" s="292" t="str">
        <f>IF(LEN(A455)=0,"",INDEX('Smelter Reference List'!$A:$A,MATCH($A455,'Smelter Reference List'!$E:$E,0)))</f>
        <v/>
      </c>
      <c r="C455" s="298" t="str">
        <f>IF(LEN(A455)=0,"",INDEX('Smelter Reference List'!$C:$C,MATCH($A455,'Smelter Reference List'!$E:$E,0)))</f>
        <v/>
      </c>
      <c r="D455" s="292" t="str">
        <f ca="1">IF(ISERROR($S455),"",OFFSET('Smelter Reference List'!$C$4,$S455-4,0)&amp;"")</f>
        <v/>
      </c>
      <c r="E455" s="292" t="str">
        <f ca="1">IF(ISERROR($S455),"",OFFSET('Smelter Reference List'!$D$4,$S455-4,0)&amp;"")</f>
        <v/>
      </c>
      <c r="F455" s="292" t="str">
        <f ca="1">IF(ISERROR($S455),"",OFFSET('Smelter Reference List'!$E$4,$S455-4,0))</f>
        <v/>
      </c>
      <c r="G455" s="292" t="str">
        <f ca="1">IF(C455=$U$4,"Enter smelter details", IF(ISERROR($S455),"",OFFSET('Smelter Reference List'!$F$4,$S455-4,0)))</f>
        <v/>
      </c>
      <c r="H455" s="293" t="str">
        <f ca="1">IF(ISERROR($S455),"",OFFSET('Smelter Reference List'!$G$4,$S455-4,0))</f>
        <v/>
      </c>
      <c r="I455" s="294" t="str">
        <f ca="1">IF(ISERROR($S455),"",OFFSET('Smelter Reference List'!$H$4,$S455-4,0))</f>
        <v/>
      </c>
      <c r="J455" s="294" t="str">
        <f ca="1">IF(ISERROR($S455),"",OFFSET('Smelter Reference List'!$I$4,$S455-4,0))</f>
        <v/>
      </c>
      <c r="K455" s="295"/>
      <c r="L455" s="295"/>
      <c r="M455" s="295"/>
      <c r="N455" s="295"/>
      <c r="O455" s="295"/>
      <c r="P455" s="295"/>
      <c r="Q455" s="296"/>
      <c r="R455" s="227"/>
      <c r="S455" s="228" t="e">
        <f>IF(C455="",NA(),MATCH($B455&amp;$C455,'Smelter Reference List'!$J:$J,0))</f>
        <v>#N/A</v>
      </c>
      <c r="T455" s="229"/>
      <c r="U455" s="229">
        <f t="shared" ca="1" si="16"/>
        <v>0</v>
      </c>
      <c r="V455" s="229"/>
      <c r="W455" s="229"/>
      <c r="Y455" s="223" t="str">
        <f t="shared" si="17"/>
        <v/>
      </c>
    </row>
    <row r="456" spans="1:25" s="223" customFormat="1" ht="20.25">
      <c r="A456" s="291"/>
      <c r="B456" s="292" t="str">
        <f>IF(LEN(A456)=0,"",INDEX('Smelter Reference List'!$A:$A,MATCH($A456,'Smelter Reference List'!$E:$E,0)))</f>
        <v/>
      </c>
      <c r="C456" s="298" t="str">
        <f>IF(LEN(A456)=0,"",INDEX('Smelter Reference List'!$C:$C,MATCH($A456,'Smelter Reference List'!$E:$E,0)))</f>
        <v/>
      </c>
      <c r="D456" s="292" t="str">
        <f ca="1">IF(ISERROR($S456),"",OFFSET('Smelter Reference List'!$C$4,$S456-4,0)&amp;"")</f>
        <v/>
      </c>
      <c r="E456" s="292" t="str">
        <f ca="1">IF(ISERROR($S456),"",OFFSET('Smelter Reference List'!$D$4,$S456-4,0)&amp;"")</f>
        <v/>
      </c>
      <c r="F456" s="292" t="str">
        <f ca="1">IF(ISERROR($S456),"",OFFSET('Smelter Reference List'!$E$4,$S456-4,0))</f>
        <v/>
      </c>
      <c r="G456" s="292" t="str">
        <f ca="1">IF(C456=$U$4,"Enter smelter details", IF(ISERROR($S456),"",OFFSET('Smelter Reference List'!$F$4,$S456-4,0)))</f>
        <v/>
      </c>
      <c r="H456" s="293" t="str">
        <f ca="1">IF(ISERROR($S456),"",OFFSET('Smelter Reference List'!$G$4,$S456-4,0))</f>
        <v/>
      </c>
      <c r="I456" s="294" t="str">
        <f ca="1">IF(ISERROR($S456),"",OFFSET('Smelter Reference List'!$H$4,$S456-4,0))</f>
        <v/>
      </c>
      <c r="J456" s="294" t="str">
        <f ca="1">IF(ISERROR($S456),"",OFFSET('Smelter Reference List'!$I$4,$S456-4,0))</f>
        <v/>
      </c>
      <c r="K456" s="295"/>
      <c r="L456" s="295"/>
      <c r="M456" s="295"/>
      <c r="N456" s="295"/>
      <c r="O456" s="295"/>
      <c r="P456" s="295"/>
      <c r="Q456" s="296"/>
      <c r="R456" s="227"/>
      <c r="S456" s="228" t="e">
        <f>IF(C456="",NA(),MATCH($B456&amp;$C456,'Smelter Reference List'!$J:$J,0))</f>
        <v>#N/A</v>
      </c>
      <c r="T456" s="229"/>
      <c r="U456" s="229">
        <f t="shared" ca="1" si="16"/>
        <v>0</v>
      </c>
      <c r="V456" s="229"/>
      <c r="W456" s="229"/>
      <c r="Y456" s="223" t="str">
        <f t="shared" si="17"/>
        <v/>
      </c>
    </row>
    <row r="457" spans="1:25" s="223" customFormat="1" ht="20.25">
      <c r="A457" s="291"/>
      <c r="B457" s="292" t="str">
        <f>IF(LEN(A457)=0,"",INDEX('Smelter Reference List'!$A:$A,MATCH($A457,'Smelter Reference List'!$E:$E,0)))</f>
        <v/>
      </c>
      <c r="C457" s="298" t="str">
        <f>IF(LEN(A457)=0,"",INDEX('Smelter Reference List'!$C:$C,MATCH($A457,'Smelter Reference List'!$E:$E,0)))</f>
        <v/>
      </c>
      <c r="D457" s="292" t="str">
        <f ca="1">IF(ISERROR($S457),"",OFFSET('Smelter Reference List'!$C$4,$S457-4,0)&amp;"")</f>
        <v/>
      </c>
      <c r="E457" s="292" t="str">
        <f ca="1">IF(ISERROR($S457),"",OFFSET('Smelter Reference List'!$D$4,$S457-4,0)&amp;"")</f>
        <v/>
      </c>
      <c r="F457" s="292" t="str">
        <f ca="1">IF(ISERROR($S457),"",OFFSET('Smelter Reference List'!$E$4,$S457-4,0))</f>
        <v/>
      </c>
      <c r="G457" s="292" t="str">
        <f ca="1">IF(C457=$U$4,"Enter smelter details", IF(ISERROR($S457),"",OFFSET('Smelter Reference List'!$F$4,$S457-4,0)))</f>
        <v/>
      </c>
      <c r="H457" s="293" t="str">
        <f ca="1">IF(ISERROR($S457),"",OFFSET('Smelter Reference List'!$G$4,$S457-4,0))</f>
        <v/>
      </c>
      <c r="I457" s="294" t="str">
        <f ca="1">IF(ISERROR($S457),"",OFFSET('Smelter Reference List'!$H$4,$S457-4,0))</f>
        <v/>
      </c>
      <c r="J457" s="294" t="str">
        <f ca="1">IF(ISERROR($S457),"",OFFSET('Smelter Reference List'!$I$4,$S457-4,0))</f>
        <v/>
      </c>
      <c r="K457" s="295"/>
      <c r="L457" s="295"/>
      <c r="M457" s="295"/>
      <c r="N457" s="295"/>
      <c r="O457" s="295"/>
      <c r="P457" s="295"/>
      <c r="Q457" s="296"/>
      <c r="R457" s="227"/>
      <c r="S457" s="228" t="e">
        <f>IF(C457="",NA(),MATCH($B457&amp;$C457,'Smelter Reference List'!$J:$J,0))</f>
        <v>#N/A</v>
      </c>
      <c r="T457" s="229"/>
      <c r="U457" s="229">
        <f t="shared" ca="1" si="16"/>
        <v>0</v>
      </c>
      <c r="V457" s="229"/>
      <c r="W457" s="229"/>
      <c r="Y457" s="223" t="str">
        <f t="shared" si="17"/>
        <v/>
      </c>
    </row>
    <row r="458" spans="1:25" s="223" customFormat="1" ht="20.25">
      <c r="A458" s="291"/>
      <c r="B458" s="292" t="str">
        <f>IF(LEN(A458)=0,"",INDEX('Smelter Reference List'!$A:$A,MATCH($A458,'Smelter Reference List'!$E:$E,0)))</f>
        <v/>
      </c>
      <c r="C458" s="298" t="str">
        <f>IF(LEN(A458)=0,"",INDEX('Smelter Reference List'!$C:$C,MATCH($A458,'Smelter Reference List'!$E:$E,0)))</f>
        <v/>
      </c>
      <c r="D458" s="292" t="str">
        <f ca="1">IF(ISERROR($S458),"",OFFSET('Smelter Reference List'!$C$4,$S458-4,0)&amp;"")</f>
        <v/>
      </c>
      <c r="E458" s="292" t="str">
        <f ca="1">IF(ISERROR($S458),"",OFFSET('Smelter Reference List'!$D$4,$S458-4,0)&amp;"")</f>
        <v/>
      </c>
      <c r="F458" s="292" t="str">
        <f ca="1">IF(ISERROR($S458),"",OFFSET('Smelter Reference List'!$E$4,$S458-4,0))</f>
        <v/>
      </c>
      <c r="G458" s="292" t="str">
        <f ca="1">IF(C458=$U$4,"Enter smelter details", IF(ISERROR($S458),"",OFFSET('Smelter Reference List'!$F$4,$S458-4,0)))</f>
        <v/>
      </c>
      <c r="H458" s="293" t="str">
        <f ca="1">IF(ISERROR($S458),"",OFFSET('Smelter Reference List'!$G$4,$S458-4,0))</f>
        <v/>
      </c>
      <c r="I458" s="294" t="str">
        <f ca="1">IF(ISERROR($S458),"",OFFSET('Smelter Reference List'!$H$4,$S458-4,0))</f>
        <v/>
      </c>
      <c r="J458" s="294" t="str">
        <f ca="1">IF(ISERROR($S458),"",OFFSET('Smelter Reference List'!$I$4,$S458-4,0))</f>
        <v/>
      </c>
      <c r="K458" s="295"/>
      <c r="L458" s="295"/>
      <c r="M458" s="295"/>
      <c r="N458" s="295"/>
      <c r="O458" s="295"/>
      <c r="P458" s="295"/>
      <c r="Q458" s="296"/>
      <c r="R458" s="227"/>
      <c r="S458" s="228" t="e">
        <f>IF(C458="",NA(),MATCH($B458&amp;$C458,'Smelter Reference List'!$J:$J,0))</f>
        <v>#N/A</v>
      </c>
      <c r="T458" s="229"/>
      <c r="U458" s="229">
        <f t="shared" ca="1" si="16"/>
        <v>0</v>
      </c>
      <c r="V458" s="229"/>
      <c r="W458" s="229"/>
      <c r="Y458" s="223" t="str">
        <f t="shared" si="17"/>
        <v/>
      </c>
    </row>
    <row r="459" spans="1:25" s="223" customFormat="1" ht="20.25">
      <c r="A459" s="291"/>
      <c r="B459" s="292" t="str">
        <f>IF(LEN(A459)=0,"",INDEX('Smelter Reference List'!$A:$A,MATCH($A459,'Smelter Reference List'!$E:$E,0)))</f>
        <v/>
      </c>
      <c r="C459" s="298" t="str">
        <f>IF(LEN(A459)=0,"",INDEX('Smelter Reference List'!$C:$C,MATCH($A459,'Smelter Reference List'!$E:$E,0)))</f>
        <v/>
      </c>
      <c r="D459" s="292" t="str">
        <f ca="1">IF(ISERROR($S459),"",OFFSET('Smelter Reference List'!$C$4,$S459-4,0)&amp;"")</f>
        <v/>
      </c>
      <c r="E459" s="292" t="str">
        <f ca="1">IF(ISERROR($S459),"",OFFSET('Smelter Reference List'!$D$4,$S459-4,0)&amp;"")</f>
        <v/>
      </c>
      <c r="F459" s="292" t="str">
        <f ca="1">IF(ISERROR($S459),"",OFFSET('Smelter Reference List'!$E$4,$S459-4,0))</f>
        <v/>
      </c>
      <c r="G459" s="292" t="str">
        <f ca="1">IF(C459=$U$4,"Enter smelter details", IF(ISERROR($S459),"",OFFSET('Smelter Reference List'!$F$4,$S459-4,0)))</f>
        <v/>
      </c>
      <c r="H459" s="293" t="str">
        <f ca="1">IF(ISERROR($S459),"",OFFSET('Smelter Reference List'!$G$4,$S459-4,0))</f>
        <v/>
      </c>
      <c r="I459" s="294" t="str">
        <f ca="1">IF(ISERROR($S459),"",OFFSET('Smelter Reference List'!$H$4,$S459-4,0))</f>
        <v/>
      </c>
      <c r="J459" s="294" t="str">
        <f ca="1">IF(ISERROR($S459),"",OFFSET('Smelter Reference List'!$I$4,$S459-4,0))</f>
        <v/>
      </c>
      <c r="K459" s="295"/>
      <c r="L459" s="295"/>
      <c r="M459" s="295"/>
      <c r="N459" s="295"/>
      <c r="O459" s="295"/>
      <c r="P459" s="295"/>
      <c r="Q459" s="296"/>
      <c r="R459" s="227"/>
      <c r="S459" s="228" t="e">
        <f>IF(C459="",NA(),MATCH($B459&amp;$C459,'Smelter Reference List'!$J:$J,0))</f>
        <v>#N/A</v>
      </c>
      <c r="T459" s="229"/>
      <c r="U459" s="229">
        <f t="shared" ca="1" si="16"/>
        <v>0</v>
      </c>
      <c r="V459" s="229"/>
      <c r="W459" s="229"/>
      <c r="Y459" s="223" t="str">
        <f t="shared" si="17"/>
        <v/>
      </c>
    </row>
    <row r="460" spans="1:25" s="223" customFormat="1" ht="20.25">
      <c r="A460" s="291"/>
      <c r="B460" s="292" t="str">
        <f>IF(LEN(A460)=0,"",INDEX('Smelter Reference List'!$A:$A,MATCH($A460,'Smelter Reference List'!$E:$E,0)))</f>
        <v/>
      </c>
      <c r="C460" s="298" t="str">
        <f>IF(LEN(A460)=0,"",INDEX('Smelter Reference List'!$C:$C,MATCH($A460,'Smelter Reference List'!$E:$E,0)))</f>
        <v/>
      </c>
      <c r="D460" s="292" t="str">
        <f ca="1">IF(ISERROR($S460),"",OFFSET('Smelter Reference List'!$C$4,$S460-4,0)&amp;"")</f>
        <v/>
      </c>
      <c r="E460" s="292" t="str">
        <f ca="1">IF(ISERROR($S460),"",OFFSET('Smelter Reference List'!$D$4,$S460-4,0)&amp;"")</f>
        <v/>
      </c>
      <c r="F460" s="292" t="str">
        <f ca="1">IF(ISERROR($S460),"",OFFSET('Smelter Reference List'!$E$4,$S460-4,0))</f>
        <v/>
      </c>
      <c r="G460" s="292" t="str">
        <f ca="1">IF(C460=$U$4,"Enter smelter details", IF(ISERROR($S460),"",OFFSET('Smelter Reference List'!$F$4,$S460-4,0)))</f>
        <v/>
      </c>
      <c r="H460" s="293" t="str">
        <f ca="1">IF(ISERROR($S460),"",OFFSET('Smelter Reference List'!$G$4,$S460-4,0))</f>
        <v/>
      </c>
      <c r="I460" s="294" t="str">
        <f ca="1">IF(ISERROR($S460),"",OFFSET('Smelter Reference List'!$H$4,$S460-4,0))</f>
        <v/>
      </c>
      <c r="J460" s="294" t="str">
        <f ca="1">IF(ISERROR($S460),"",OFFSET('Smelter Reference List'!$I$4,$S460-4,0))</f>
        <v/>
      </c>
      <c r="K460" s="295"/>
      <c r="L460" s="295"/>
      <c r="M460" s="295"/>
      <c r="N460" s="295"/>
      <c r="O460" s="295"/>
      <c r="P460" s="295"/>
      <c r="Q460" s="296"/>
      <c r="R460" s="227"/>
      <c r="S460" s="228" t="e">
        <f>IF(C460="",NA(),MATCH($B460&amp;$C460,'Smelter Reference List'!$J:$J,0))</f>
        <v>#N/A</v>
      </c>
      <c r="T460" s="229"/>
      <c r="U460" s="229">
        <f t="shared" ca="1" si="16"/>
        <v>0</v>
      </c>
      <c r="V460" s="229"/>
      <c r="W460" s="229"/>
      <c r="Y460" s="223" t="str">
        <f t="shared" si="17"/>
        <v/>
      </c>
    </row>
    <row r="461" spans="1:25" s="223" customFormat="1" ht="20.25">
      <c r="A461" s="291"/>
      <c r="B461" s="292" t="str">
        <f>IF(LEN(A461)=0,"",INDEX('Smelter Reference List'!$A:$A,MATCH($A461,'Smelter Reference List'!$E:$E,0)))</f>
        <v/>
      </c>
      <c r="C461" s="298" t="str">
        <f>IF(LEN(A461)=0,"",INDEX('Smelter Reference List'!$C:$C,MATCH($A461,'Smelter Reference List'!$E:$E,0)))</f>
        <v/>
      </c>
      <c r="D461" s="292" t="str">
        <f ca="1">IF(ISERROR($S461),"",OFFSET('Smelter Reference List'!$C$4,$S461-4,0)&amp;"")</f>
        <v/>
      </c>
      <c r="E461" s="292" t="str">
        <f ca="1">IF(ISERROR($S461),"",OFFSET('Smelter Reference List'!$D$4,$S461-4,0)&amp;"")</f>
        <v/>
      </c>
      <c r="F461" s="292" t="str">
        <f ca="1">IF(ISERROR($S461),"",OFFSET('Smelter Reference List'!$E$4,$S461-4,0))</f>
        <v/>
      </c>
      <c r="G461" s="292" t="str">
        <f ca="1">IF(C461=$U$4,"Enter smelter details", IF(ISERROR($S461),"",OFFSET('Smelter Reference List'!$F$4,$S461-4,0)))</f>
        <v/>
      </c>
      <c r="H461" s="293" t="str">
        <f ca="1">IF(ISERROR($S461),"",OFFSET('Smelter Reference List'!$G$4,$S461-4,0))</f>
        <v/>
      </c>
      <c r="I461" s="294" t="str">
        <f ca="1">IF(ISERROR($S461),"",OFFSET('Smelter Reference List'!$H$4,$S461-4,0))</f>
        <v/>
      </c>
      <c r="J461" s="294" t="str">
        <f ca="1">IF(ISERROR($S461),"",OFFSET('Smelter Reference List'!$I$4,$S461-4,0))</f>
        <v/>
      </c>
      <c r="K461" s="295"/>
      <c r="L461" s="295"/>
      <c r="M461" s="295"/>
      <c r="N461" s="295"/>
      <c r="O461" s="295"/>
      <c r="P461" s="295"/>
      <c r="Q461" s="296"/>
      <c r="R461" s="227"/>
      <c r="S461" s="228" t="e">
        <f>IF(C461="",NA(),MATCH($B461&amp;$C461,'Smelter Reference List'!$J:$J,0))</f>
        <v>#N/A</v>
      </c>
      <c r="T461" s="229"/>
      <c r="U461" s="229">
        <f t="shared" ca="1" si="16"/>
        <v>0</v>
      </c>
      <c r="V461" s="229"/>
      <c r="W461" s="229"/>
      <c r="Y461" s="223" t="str">
        <f t="shared" si="17"/>
        <v/>
      </c>
    </row>
    <row r="462" spans="1:25" s="223" customFormat="1" ht="20.25">
      <c r="A462" s="291"/>
      <c r="B462" s="292" t="str">
        <f>IF(LEN(A462)=0,"",INDEX('Smelter Reference List'!$A:$A,MATCH($A462,'Smelter Reference List'!$E:$E,0)))</f>
        <v/>
      </c>
      <c r="C462" s="298" t="str">
        <f>IF(LEN(A462)=0,"",INDEX('Smelter Reference List'!$C:$C,MATCH($A462,'Smelter Reference List'!$E:$E,0)))</f>
        <v/>
      </c>
      <c r="D462" s="292" t="str">
        <f ca="1">IF(ISERROR($S462),"",OFFSET('Smelter Reference List'!$C$4,$S462-4,0)&amp;"")</f>
        <v/>
      </c>
      <c r="E462" s="292" t="str">
        <f ca="1">IF(ISERROR($S462),"",OFFSET('Smelter Reference List'!$D$4,$S462-4,0)&amp;"")</f>
        <v/>
      </c>
      <c r="F462" s="292" t="str">
        <f ca="1">IF(ISERROR($S462),"",OFFSET('Smelter Reference List'!$E$4,$S462-4,0))</f>
        <v/>
      </c>
      <c r="G462" s="292" t="str">
        <f ca="1">IF(C462=$U$4,"Enter smelter details", IF(ISERROR($S462),"",OFFSET('Smelter Reference List'!$F$4,$S462-4,0)))</f>
        <v/>
      </c>
      <c r="H462" s="293" t="str">
        <f ca="1">IF(ISERROR($S462),"",OFFSET('Smelter Reference List'!$G$4,$S462-4,0))</f>
        <v/>
      </c>
      <c r="I462" s="294" t="str">
        <f ca="1">IF(ISERROR($S462),"",OFFSET('Smelter Reference List'!$H$4,$S462-4,0))</f>
        <v/>
      </c>
      <c r="J462" s="294" t="str">
        <f ca="1">IF(ISERROR($S462),"",OFFSET('Smelter Reference List'!$I$4,$S462-4,0))</f>
        <v/>
      </c>
      <c r="K462" s="295"/>
      <c r="L462" s="295"/>
      <c r="M462" s="295"/>
      <c r="N462" s="295"/>
      <c r="O462" s="295"/>
      <c r="P462" s="295"/>
      <c r="Q462" s="296"/>
      <c r="R462" s="227"/>
      <c r="S462" s="228" t="e">
        <f>IF(C462="",NA(),MATCH($B462&amp;$C462,'Smelter Reference List'!$J:$J,0))</f>
        <v>#N/A</v>
      </c>
      <c r="T462" s="229"/>
      <c r="U462" s="229">
        <f t="shared" ca="1" si="16"/>
        <v>0</v>
      </c>
      <c r="V462" s="229"/>
      <c r="W462" s="229"/>
      <c r="Y462" s="223" t="str">
        <f t="shared" si="17"/>
        <v/>
      </c>
    </row>
    <row r="463" spans="1:25" s="223" customFormat="1" ht="20.25">
      <c r="A463" s="291"/>
      <c r="B463" s="292" t="str">
        <f>IF(LEN(A463)=0,"",INDEX('Smelter Reference List'!$A:$A,MATCH($A463,'Smelter Reference List'!$E:$E,0)))</f>
        <v/>
      </c>
      <c r="C463" s="298" t="str">
        <f>IF(LEN(A463)=0,"",INDEX('Smelter Reference List'!$C:$C,MATCH($A463,'Smelter Reference List'!$E:$E,0)))</f>
        <v/>
      </c>
      <c r="D463" s="292" t="str">
        <f ca="1">IF(ISERROR($S463),"",OFFSET('Smelter Reference List'!$C$4,$S463-4,0)&amp;"")</f>
        <v/>
      </c>
      <c r="E463" s="292" t="str">
        <f ca="1">IF(ISERROR($S463),"",OFFSET('Smelter Reference List'!$D$4,$S463-4,0)&amp;"")</f>
        <v/>
      </c>
      <c r="F463" s="292" t="str">
        <f ca="1">IF(ISERROR($S463),"",OFFSET('Smelter Reference List'!$E$4,$S463-4,0))</f>
        <v/>
      </c>
      <c r="G463" s="292" t="str">
        <f ca="1">IF(C463=$U$4,"Enter smelter details", IF(ISERROR($S463),"",OFFSET('Smelter Reference List'!$F$4,$S463-4,0)))</f>
        <v/>
      </c>
      <c r="H463" s="293" t="str">
        <f ca="1">IF(ISERROR($S463),"",OFFSET('Smelter Reference List'!$G$4,$S463-4,0))</f>
        <v/>
      </c>
      <c r="I463" s="294" t="str">
        <f ca="1">IF(ISERROR($S463),"",OFFSET('Smelter Reference List'!$H$4,$S463-4,0))</f>
        <v/>
      </c>
      <c r="J463" s="294" t="str">
        <f ca="1">IF(ISERROR($S463),"",OFFSET('Smelter Reference List'!$I$4,$S463-4,0))</f>
        <v/>
      </c>
      <c r="K463" s="295"/>
      <c r="L463" s="295"/>
      <c r="M463" s="295"/>
      <c r="N463" s="295"/>
      <c r="O463" s="295"/>
      <c r="P463" s="295"/>
      <c r="Q463" s="296"/>
      <c r="R463" s="227"/>
      <c r="S463" s="228" t="e">
        <f>IF(C463="",NA(),MATCH($B463&amp;$C463,'Smelter Reference List'!$J:$J,0))</f>
        <v>#N/A</v>
      </c>
      <c r="T463" s="229"/>
      <c r="U463" s="229">
        <f t="shared" ca="1" si="16"/>
        <v>0</v>
      </c>
      <c r="V463" s="229"/>
      <c r="W463" s="229"/>
      <c r="Y463" s="223" t="str">
        <f t="shared" si="17"/>
        <v/>
      </c>
    </row>
    <row r="464" spans="1:25" s="223" customFormat="1" ht="20.25">
      <c r="A464" s="291"/>
      <c r="B464" s="292" t="str">
        <f>IF(LEN(A464)=0,"",INDEX('Smelter Reference List'!$A:$A,MATCH($A464,'Smelter Reference List'!$E:$E,0)))</f>
        <v/>
      </c>
      <c r="C464" s="298" t="str">
        <f>IF(LEN(A464)=0,"",INDEX('Smelter Reference List'!$C:$C,MATCH($A464,'Smelter Reference List'!$E:$E,0)))</f>
        <v/>
      </c>
      <c r="D464" s="292" t="str">
        <f ca="1">IF(ISERROR($S464),"",OFFSET('Smelter Reference List'!$C$4,$S464-4,0)&amp;"")</f>
        <v/>
      </c>
      <c r="E464" s="292" t="str">
        <f ca="1">IF(ISERROR($S464),"",OFFSET('Smelter Reference List'!$D$4,$S464-4,0)&amp;"")</f>
        <v/>
      </c>
      <c r="F464" s="292" t="str">
        <f ca="1">IF(ISERROR($S464),"",OFFSET('Smelter Reference List'!$E$4,$S464-4,0))</f>
        <v/>
      </c>
      <c r="G464" s="292" t="str">
        <f ca="1">IF(C464=$U$4,"Enter smelter details", IF(ISERROR($S464),"",OFFSET('Smelter Reference List'!$F$4,$S464-4,0)))</f>
        <v/>
      </c>
      <c r="H464" s="293" t="str">
        <f ca="1">IF(ISERROR($S464),"",OFFSET('Smelter Reference List'!$G$4,$S464-4,0))</f>
        <v/>
      </c>
      <c r="I464" s="294" t="str">
        <f ca="1">IF(ISERROR($S464),"",OFFSET('Smelter Reference List'!$H$4,$S464-4,0))</f>
        <v/>
      </c>
      <c r="J464" s="294" t="str">
        <f ca="1">IF(ISERROR($S464),"",OFFSET('Smelter Reference List'!$I$4,$S464-4,0))</f>
        <v/>
      </c>
      <c r="K464" s="295"/>
      <c r="L464" s="295"/>
      <c r="M464" s="295"/>
      <c r="N464" s="295"/>
      <c r="O464" s="295"/>
      <c r="P464" s="295"/>
      <c r="Q464" s="296"/>
      <c r="R464" s="227"/>
      <c r="S464" s="228" t="e">
        <f>IF(C464="",NA(),MATCH($B464&amp;$C464,'Smelter Reference List'!$J:$J,0))</f>
        <v>#N/A</v>
      </c>
      <c r="T464" s="229"/>
      <c r="U464" s="229">
        <f t="shared" ca="1" si="16"/>
        <v>0</v>
      </c>
      <c r="V464" s="229"/>
      <c r="W464" s="229"/>
      <c r="Y464" s="223" t="str">
        <f t="shared" si="17"/>
        <v/>
      </c>
    </row>
    <row r="465" spans="1:25" s="223" customFormat="1" ht="20.25">
      <c r="A465" s="291"/>
      <c r="B465" s="292" t="str">
        <f>IF(LEN(A465)=0,"",INDEX('Smelter Reference List'!$A:$A,MATCH($A465,'Smelter Reference List'!$E:$E,0)))</f>
        <v/>
      </c>
      <c r="C465" s="298" t="str">
        <f>IF(LEN(A465)=0,"",INDEX('Smelter Reference List'!$C:$C,MATCH($A465,'Smelter Reference List'!$E:$E,0)))</f>
        <v/>
      </c>
      <c r="D465" s="292" t="str">
        <f ca="1">IF(ISERROR($S465),"",OFFSET('Smelter Reference List'!$C$4,$S465-4,0)&amp;"")</f>
        <v/>
      </c>
      <c r="E465" s="292" t="str">
        <f ca="1">IF(ISERROR($S465),"",OFFSET('Smelter Reference List'!$D$4,$S465-4,0)&amp;"")</f>
        <v/>
      </c>
      <c r="F465" s="292" t="str">
        <f ca="1">IF(ISERROR($S465),"",OFFSET('Smelter Reference List'!$E$4,$S465-4,0))</f>
        <v/>
      </c>
      <c r="G465" s="292" t="str">
        <f ca="1">IF(C465=$U$4,"Enter smelter details", IF(ISERROR($S465),"",OFFSET('Smelter Reference List'!$F$4,$S465-4,0)))</f>
        <v/>
      </c>
      <c r="H465" s="293" t="str">
        <f ca="1">IF(ISERROR($S465),"",OFFSET('Smelter Reference List'!$G$4,$S465-4,0))</f>
        <v/>
      </c>
      <c r="I465" s="294" t="str">
        <f ca="1">IF(ISERROR($S465),"",OFFSET('Smelter Reference List'!$H$4,$S465-4,0))</f>
        <v/>
      </c>
      <c r="J465" s="294" t="str">
        <f ca="1">IF(ISERROR($S465),"",OFFSET('Smelter Reference List'!$I$4,$S465-4,0))</f>
        <v/>
      </c>
      <c r="K465" s="295"/>
      <c r="L465" s="295"/>
      <c r="M465" s="295"/>
      <c r="N465" s="295"/>
      <c r="O465" s="295"/>
      <c r="P465" s="295"/>
      <c r="Q465" s="296"/>
      <c r="R465" s="227"/>
      <c r="S465" s="228" t="e">
        <f>IF(C465="",NA(),MATCH($B465&amp;$C465,'Smelter Reference List'!$J:$J,0))</f>
        <v>#N/A</v>
      </c>
      <c r="T465" s="229"/>
      <c r="U465" s="229">
        <f t="shared" ca="1" si="16"/>
        <v>0</v>
      </c>
      <c r="V465" s="229"/>
      <c r="W465" s="229"/>
      <c r="Y465" s="223" t="str">
        <f t="shared" si="17"/>
        <v/>
      </c>
    </row>
    <row r="466" spans="1:25" s="223" customFormat="1" ht="20.25">
      <c r="A466" s="291"/>
      <c r="B466" s="292" t="str">
        <f>IF(LEN(A466)=0,"",INDEX('Smelter Reference List'!$A:$A,MATCH($A466,'Smelter Reference List'!$E:$E,0)))</f>
        <v/>
      </c>
      <c r="C466" s="298" t="str">
        <f>IF(LEN(A466)=0,"",INDEX('Smelter Reference List'!$C:$C,MATCH($A466,'Smelter Reference List'!$E:$E,0)))</f>
        <v/>
      </c>
      <c r="D466" s="292" t="str">
        <f ca="1">IF(ISERROR($S466),"",OFFSET('Smelter Reference List'!$C$4,$S466-4,0)&amp;"")</f>
        <v/>
      </c>
      <c r="E466" s="292" t="str">
        <f ca="1">IF(ISERROR($S466),"",OFFSET('Smelter Reference List'!$D$4,$S466-4,0)&amp;"")</f>
        <v/>
      </c>
      <c r="F466" s="292" t="str">
        <f ca="1">IF(ISERROR($S466),"",OFFSET('Smelter Reference List'!$E$4,$S466-4,0))</f>
        <v/>
      </c>
      <c r="G466" s="292" t="str">
        <f ca="1">IF(C466=$U$4,"Enter smelter details", IF(ISERROR($S466),"",OFFSET('Smelter Reference List'!$F$4,$S466-4,0)))</f>
        <v/>
      </c>
      <c r="H466" s="293" t="str">
        <f ca="1">IF(ISERROR($S466),"",OFFSET('Smelter Reference List'!$G$4,$S466-4,0))</f>
        <v/>
      </c>
      <c r="I466" s="294" t="str">
        <f ca="1">IF(ISERROR($S466),"",OFFSET('Smelter Reference List'!$H$4,$S466-4,0))</f>
        <v/>
      </c>
      <c r="J466" s="294" t="str">
        <f ca="1">IF(ISERROR($S466),"",OFFSET('Smelter Reference List'!$I$4,$S466-4,0))</f>
        <v/>
      </c>
      <c r="K466" s="295"/>
      <c r="L466" s="295"/>
      <c r="M466" s="295"/>
      <c r="N466" s="295"/>
      <c r="O466" s="295"/>
      <c r="P466" s="295"/>
      <c r="Q466" s="296"/>
      <c r="R466" s="227"/>
      <c r="S466" s="228" t="e">
        <f>IF(C466="",NA(),MATCH($B466&amp;$C466,'Smelter Reference List'!$J:$J,0))</f>
        <v>#N/A</v>
      </c>
      <c r="T466" s="229"/>
      <c r="U466" s="229">
        <f t="shared" ca="1" si="16"/>
        <v>0</v>
      </c>
      <c r="V466" s="229"/>
      <c r="W466" s="229"/>
      <c r="Y466" s="223" t="str">
        <f t="shared" si="17"/>
        <v/>
      </c>
    </row>
    <row r="467" spans="1:25" s="223" customFormat="1" ht="20.25">
      <c r="A467" s="291"/>
      <c r="B467" s="292" t="str">
        <f>IF(LEN(A467)=0,"",INDEX('Smelter Reference List'!$A:$A,MATCH($A467,'Smelter Reference List'!$E:$E,0)))</f>
        <v/>
      </c>
      <c r="C467" s="298" t="str">
        <f>IF(LEN(A467)=0,"",INDEX('Smelter Reference List'!$C:$C,MATCH($A467,'Smelter Reference List'!$E:$E,0)))</f>
        <v/>
      </c>
      <c r="D467" s="292" t="str">
        <f ca="1">IF(ISERROR($S467),"",OFFSET('Smelter Reference List'!$C$4,$S467-4,0)&amp;"")</f>
        <v/>
      </c>
      <c r="E467" s="292" t="str">
        <f ca="1">IF(ISERROR($S467),"",OFFSET('Smelter Reference List'!$D$4,$S467-4,0)&amp;"")</f>
        <v/>
      </c>
      <c r="F467" s="292" t="str">
        <f ca="1">IF(ISERROR($S467),"",OFFSET('Smelter Reference List'!$E$4,$S467-4,0))</f>
        <v/>
      </c>
      <c r="G467" s="292" t="str">
        <f ca="1">IF(C467=$U$4,"Enter smelter details", IF(ISERROR($S467),"",OFFSET('Smelter Reference List'!$F$4,$S467-4,0)))</f>
        <v/>
      </c>
      <c r="H467" s="293" t="str">
        <f ca="1">IF(ISERROR($S467),"",OFFSET('Smelter Reference List'!$G$4,$S467-4,0))</f>
        <v/>
      </c>
      <c r="I467" s="294" t="str">
        <f ca="1">IF(ISERROR($S467),"",OFFSET('Smelter Reference List'!$H$4,$S467-4,0))</f>
        <v/>
      </c>
      <c r="J467" s="294" t="str">
        <f ca="1">IF(ISERROR($S467),"",OFFSET('Smelter Reference List'!$I$4,$S467-4,0))</f>
        <v/>
      </c>
      <c r="K467" s="295"/>
      <c r="L467" s="295"/>
      <c r="M467" s="295"/>
      <c r="N467" s="295"/>
      <c r="O467" s="295"/>
      <c r="P467" s="295"/>
      <c r="Q467" s="296"/>
      <c r="R467" s="227"/>
      <c r="S467" s="228" t="e">
        <f>IF(C467="",NA(),MATCH($B467&amp;$C467,'Smelter Reference List'!$J:$J,0))</f>
        <v>#N/A</v>
      </c>
      <c r="T467" s="229"/>
      <c r="U467" s="229">
        <f t="shared" ca="1" si="16"/>
        <v>0</v>
      </c>
      <c r="V467" s="229"/>
      <c r="W467" s="229"/>
      <c r="Y467" s="223" t="str">
        <f t="shared" si="17"/>
        <v/>
      </c>
    </row>
    <row r="468" spans="1:25" s="223" customFormat="1" ht="20.25">
      <c r="A468" s="291"/>
      <c r="B468" s="292" t="str">
        <f>IF(LEN(A468)=0,"",INDEX('Smelter Reference List'!$A:$A,MATCH($A468,'Smelter Reference List'!$E:$E,0)))</f>
        <v/>
      </c>
      <c r="C468" s="298" t="str">
        <f>IF(LEN(A468)=0,"",INDEX('Smelter Reference List'!$C:$C,MATCH($A468,'Smelter Reference List'!$E:$E,0)))</f>
        <v/>
      </c>
      <c r="D468" s="292" t="str">
        <f ca="1">IF(ISERROR($S468),"",OFFSET('Smelter Reference List'!$C$4,$S468-4,0)&amp;"")</f>
        <v/>
      </c>
      <c r="E468" s="292" t="str">
        <f ca="1">IF(ISERROR($S468),"",OFFSET('Smelter Reference List'!$D$4,$S468-4,0)&amp;"")</f>
        <v/>
      </c>
      <c r="F468" s="292" t="str">
        <f ca="1">IF(ISERROR($S468),"",OFFSET('Smelter Reference List'!$E$4,$S468-4,0))</f>
        <v/>
      </c>
      <c r="G468" s="292" t="str">
        <f ca="1">IF(C468=$U$4,"Enter smelter details", IF(ISERROR($S468),"",OFFSET('Smelter Reference List'!$F$4,$S468-4,0)))</f>
        <v/>
      </c>
      <c r="H468" s="293" t="str">
        <f ca="1">IF(ISERROR($S468),"",OFFSET('Smelter Reference List'!$G$4,$S468-4,0))</f>
        <v/>
      </c>
      <c r="I468" s="294" t="str">
        <f ca="1">IF(ISERROR($S468),"",OFFSET('Smelter Reference List'!$H$4,$S468-4,0))</f>
        <v/>
      </c>
      <c r="J468" s="294" t="str">
        <f ca="1">IF(ISERROR($S468),"",OFFSET('Smelter Reference List'!$I$4,$S468-4,0))</f>
        <v/>
      </c>
      <c r="K468" s="295"/>
      <c r="L468" s="295"/>
      <c r="M468" s="295"/>
      <c r="N468" s="295"/>
      <c r="O468" s="295"/>
      <c r="P468" s="295"/>
      <c r="Q468" s="296"/>
      <c r="R468" s="227"/>
      <c r="S468" s="228" t="e">
        <f>IF(C468="",NA(),MATCH($B468&amp;$C468,'Smelter Reference List'!$J:$J,0))</f>
        <v>#N/A</v>
      </c>
      <c r="T468" s="229"/>
      <c r="U468" s="229">
        <f t="shared" ca="1" si="16"/>
        <v>0</v>
      </c>
      <c r="V468" s="229"/>
      <c r="W468" s="229"/>
      <c r="Y468" s="223" t="str">
        <f t="shared" si="17"/>
        <v/>
      </c>
    </row>
    <row r="469" spans="1:25" s="223" customFormat="1" ht="20.25">
      <c r="A469" s="291"/>
      <c r="B469" s="292" t="str">
        <f>IF(LEN(A469)=0,"",INDEX('Smelter Reference List'!$A:$A,MATCH($A469,'Smelter Reference List'!$E:$E,0)))</f>
        <v/>
      </c>
      <c r="C469" s="298" t="str">
        <f>IF(LEN(A469)=0,"",INDEX('Smelter Reference List'!$C:$C,MATCH($A469,'Smelter Reference List'!$E:$E,0)))</f>
        <v/>
      </c>
      <c r="D469" s="292" t="str">
        <f ca="1">IF(ISERROR($S469),"",OFFSET('Smelter Reference List'!$C$4,$S469-4,0)&amp;"")</f>
        <v/>
      </c>
      <c r="E469" s="292" t="str">
        <f ca="1">IF(ISERROR($S469),"",OFFSET('Smelter Reference List'!$D$4,$S469-4,0)&amp;"")</f>
        <v/>
      </c>
      <c r="F469" s="292" t="str">
        <f ca="1">IF(ISERROR($S469),"",OFFSET('Smelter Reference List'!$E$4,$S469-4,0))</f>
        <v/>
      </c>
      <c r="G469" s="292" t="str">
        <f ca="1">IF(C469=$U$4,"Enter smelter details", IF(ISERROR($S469),"",OFFSET('Smelter Reference List'!$F$4,$S469-4,0)))</f>
        <v/>
      </c>
      <c r="H469" s="293" t="str">
        <f ca="1">IF(ISERROR($S469),"",OFFSET('Smelter Reference List'!$G$4,$S469-4,0))</f>
        <v/>
      </c>
      <c r="I469" s="294" t="str">
        <f ca="1">IF(ISERROR($S469),"",OFFSET('Smelter Reference List'!$H$4,$S469-4,0))</f>
        <v/>
      </c>
      <c r="J469" s="294" t="str">
        <f ca="1">IF(ISERROR($S469),"",OFFSET('Smelter Reference List'!$I$4,$S469-4,0))</f>
        <v/>
      </c>
      <c r="K469" s="295"/>
      <c r="L469" s="295"/>
      <c r="M469" s="295"/>
      <c r="N469" s="295"/>
      <c r="O469" s="295"/>
      <c r="P469" s="295"/>
      <c r="Q469" s="296"/>
      <c r="R469" s="227"/>
      <c r="S469" s="228" t="e">
        <f>IF(C469="",NA(),MATCH($B469&amp;$C469,'Smelter Reference List'!$J:$J,0))</f>
        <v>#N/A</v>
      </c>
      <c r="T469" s="229"/>
      <c r="U469" s="229">
        <f t="shared" ca="1" si="16"/>
        <v>0</v>
      </c>
      <c r="V469" s="229"/>
      <c r="W469" s="229"/>
      <c r="Y469" s="223" t="str">
        <f t="shared" si="17"/>
        <v/>
      </c>
    </row>
    <row r="470" spans="1:25" s="223" customFormat="1" ht="20.25">
      <c r="A470" s="291"/>
      <c r="B470" s="292" t="str">
        <f>IF(LEN(A470)=0,"",INDEX('Smelter Reference List'!$A:$A,MATCH($A470,'Smelter Reference List'!$E:$E,0)))</f>
        <v/>
      </c>
      <c r="C470" s="298" t="str">
        <f>IF(LEN(A470)=0,"",INDEX('Smelter Reference List'!$C:$C,MATCH($A470,'Smelter Reference List'!$E:$E,0)))</f>
        <v/>
      </c>
      <c r="D470" s="292" t="str">
        <f ca="1">IF(ISERROR($S470),"",OFFSET('Smelter Reference List'!$C$4,$S470-4,0)&amp;"")</f>
        <v/>
      </c>
      <c r="E470" s="292" t="str">
        <f ca="1">IF(ISERROR($S470),"",OFFSET('Smelter Reference List'!$D$4,$S470-4,0)&amp;"")</f>
        <v/>
      </c>
      <c r="F470" s="292" t="str">
        <f ca="1">IF(ISERROR($S470),"",OFFSET('Smelter Reference List'!$E$4,$S470-4,0))</f>
        <v/>
      </c>
      <c r="G470" s="292" t="str">
        <f ca="1">IF(C470=$U$4,"Enter smelter details", IF(ISERROR($S470),"",OFFSET('Smelter Reference List'!$F$4,$S470-4,0)))</f>
        <v/>
      </c>
      <c r="H470" s="293" t="str">
        <f ca="1">IF(ISERROR($S470),"",OFFSET('Smelter Reference List'!$G$4,$S470-4,0))</f>
        <v/>
      </c>
      <c r="I470" s="294" t="str">
        <f ca="1">IF(ISERROR($S470),"",OFFSET('Smelter Reference List'!$H$4,$S470-4,0))</f>
        <v/>
      </c>
      <c r="J470" s="294" t="str">
        <f ca="1">IF(ISERROR($S470),"",OFFSET('Smelter Reference List'!$I$4,$S470-4,0))</f>
        <v/>
      </c>
      <c r="K470" s="295"/>
      <c r="L470" s="295"/>
      <c r="M470" s="295"/>
      <c r="N470" s="295"/>
      <c r="O470" s="295"/>
      <c r="P470" s="295"/>
      <c r="Q470" s="296"/>
      <c r="R470" s="227"/>
      <c r="S470" s="228" t="e">
        <f>IF(C470="",NA(),MATCH($B470&amp;$C470,'Smelter Reference List'!$J:$J,0))</f>
        <v>#N/A</v>
      </c>
      <c r="T470" s="229"/>
      <c r="U470" s="229">
        <f t="shared" ca="1" si="16"/>
        <v>0</v>
      </c>
      <c r="V470" s="229"/>
      <c r="W470" s="229"/>
      <c r="Y470" s="223" t="str">
        <f t="shared" si="17"/>
        <v/>
      </c>
    </row>
    <row r="471" spans="1:25" s="223" customFormat="1" ht="20.25">
      <c r="A471" s="291"/>
      <c r="B471" s="292" t="str">
        <f>IF(LEN(A471)=0,"",INDEX('Smelter Reference List'!$A:$A,MATCH($A471,'Smelter Reference List'!$E:$E,0)))</f>
        <v/>
      </c>
      <c r="C471" s="298" t="str">
        <f>IF(LEN(A471)=0,"",INDEX('Smelter Reference List'!$C:$C,MATCH($A471,'Smelter Reference List'!$E:$E,0)))</f>
        <v/>
      </c>
      <c r="D471" s="292" t="str">
        <f ca="1">IF(ISERROR($S471),"",OFFSET('Smelter Reference List'!$C$4,$S471-4,0)&amp;"")</f>
        <v/>
      </c>
      <c r="E471" s="292" t="str">
        <f ca="1">IF(ISERROR($S471),"",OFFSET('Smelter Reference List'!$D$4,$S471-4,0)&amp;"")</f>
        <v/>
      </c>
      <c r="F471" s="292" t="str">
        <f ca="1">IF(ISERROR($S471),"",OFFSET('Smelter Reference List'!$E$4,$S471-4,0))</f>
        <v/>
      </c>
      <c r="G471" s="292" t="str">
        <f ca="1">IF(C471=$U$4,"Enter smelter details", IF(ISERROR($S471),"",OFFSET('Smelter Reference List'!$F$4,$S471-4,0)))</f>
        <v/>
      </c>
      <c r="H471" s="293" t="str">
        <f ca="1">IF(ISERROR($S471),"",OFFSET('Smelter Reference List'!$G$4,$S471-4,0))</f>
        <v/>
      </c>
      <c r="I471" s="294" t="str">
        <f ca="1">IF(ISERROR($S471),"",OFFSET('Smelter Reference List'!$H$4,$S471-4,0))</f>
        <v/>
      </c>
      <c r="J471" s="294" t="str">
        <f ca="1">IF(ISERROR($S471),"",OFFSET('Smelter Reference List'!$I$4,$S471-4,0))</f>
        <v/>
      </c>
      <c r="K471" s="295"/>
      <c r="L471" s="295"/>
      <c r="M471" s="295"/>
      <c r="N471" s="295"/>
      <c r="O471" s="295"/>
      <c r="P471" s="295"/>
      <c r="Q471" s="296"/>
      <c r="R471" s="227"/>
      <c r="S471" s="228" t="e">
        <f>IF(C471="",NA(),MATCH($B471&amp;$C471,'Smelter Reference List'!$J:$J,0))</f>
        <v>#N/A</v>
      </c>
      <c r="T471" s="229"/>
      <c r="U471" s="229">
        <f t="shared" ca="1" si="16"/>
        <v>0</v>
      </c>
      <c r="V471" s="229"/>
      <c r="W471" s="229"/>
      <c r="Y471" s="223" t="str">
        <f t="shared" si="17"/>
        <v/>
      </c>
    </row>
    <row r="472" spans="1:25" s="223" customFormat="1" ht="20.25">
      <c r="A472" s="291"/>
      <c r="B472" s="292" t="str">
        <f>IF(LEN(A472)=0,"",INDEX('Smelter Reference List'!$A:$A,MATCH($A472,'Smelter Reference List'!$E:$E,0)))</f>
        <v/>
      </c>
      <c r="C472" s="298" t="str">
        <f>IF(LEN(A472)=0,"",INDEX('Smelter Reference List'!$C:$C,MATCH($A472,'Smelter Reference List'!$E:$E,0)))</f>
        <v/>
      </c>
      <c r="D472" s="292" t="str">
        <f ca="1">IF(ISERROR($S472),"",OFFSET('Smelter Reference List'!$C$4,$S472-4,0)&amp;"")</f>
        <v/>
      </c>
      <c r="E472" s="292" t="str">
        <f ca="1">IF(ISERROR($S472),"",OFFSET('Smelter Reference List'!$D$4,$S472-4,0)&amp;"")</f>
        <v/>
      </c>
      <c r="F472" s="292" t="str">
        <f ca="1">IF(ISERROR($S472),"",OFFSET('Smelter Reference List'!$E$4,$S472-4,0))</f>
        <v/>
      </c>
      <c r="G472" s="292" t="str">
        <f ca="1">IF(C472=$U$4,"Enter smelter details", IF(ISERROR($S472),"",OFFSET('Smelter Reference List'!$F$4,$S472-4,0)))</f>
        <v/>
      </c>
      <c r="H472" s="293" t="str">
        <f ca="1">IF(ISERROR($S472),"",OFFSET('Smelter Reference List'!$G$4,$S472-4,0))</f>
        <v/>
      </c>
      <c r="I472" s="294" t="str">
        <f ca="1">IF(ISERROR($S472),"",OFFSET('Smelter Reference List'!$H$4,$S472-4,0))</f>
        <v/>
      </c>
      <c r="J472" s="294" t="str">
        <f ca="1">IF(ISERROR($S472),"",OFFSET('Smelter Reference List'!$I$4,$S472-4,0))</f>
        <v/>
      </c>
      <c r="K472" s="295"/>
      <c r="L472" s="295"/>
      <c r="M472" s="295"/>
      <c r="N472" s="295"/>
      <c r="O472" s="295"/>
      <c r="P472" s="295"/>
      <c r="Q472" s="296"/>
      <c r="R472" s="227"/>
      <c r="S472" s="228" t="e">
        <f>IF(C472="",NA(),MATCH($B472&amp;$C472,'Smelter Reference List'!$J:$J,0))</f>
        <v>#N/A</v>
      </c>
      <c r="T472" s="229"/>
      <c r="U472" s="229">
        <f t="shared" ca="1" si="16"/>
        <v>0</v>
      </c>
      <c r="V472" s="229"/>
      <c r="W472" s="229"/>
      <c r="Y472" s="223" t="str">
        <f t="shared" si="17"/>
        <v/>
      </c>
    </row>
    <row r="473" spans="1:25" s="223" customFormat="1" ht="20.25">
      <c r="A473" s="291"/>
      <c r="B473" s="292" t="str">
        <f>IF(LEN(A473)=0,"",INDEX('Smelter Reference List'!$A:$A,MATCH($A473,'Smelter Reference List'!$E:$E,0)))</f>
        <v/>
      </c>
      <c r="C473" s="298" t="str">
        <f>IF(LEN(A473)=0,"",INDEX('Smelter Reference List'!$C:$C,MATCH($A473,'Smelter Reference List'!$E:$E,0)))</f>
        <v/>
      </c>
      <c r="D473" s="292" t="str">
        <f ca="1">IF(ISERROR($S473),"",OFFSET('Smelter Reference List'!$C$4,$S473-4,0)&amp;"")</f>
        <v/>
      </c>
      <c r="E473" s="292" t="str">
        <f ca="1">IF(ISERROR($S473),"",OFFSET('Smelter Reference List'!$D$4,$S473-4,0)&amp;"")</f>
        <v/>
      </c>
      <c r="F473" s="292" t="str">
        <f ca="1">IF(ISERROR($S473),"",OFFSET('Smelter Reference List'!$E$4,$S473-4,0))</f>
        <v/>
      </c>
      <c r="G473" s="292" t="str">
        <f ca="1">IF(C473=$U$4,"Enter smelter details", IF(ISERROR($S473),"",OFFSET('Smelter Reference List'!$F$4,$S473-4,0)))</f>
        <v/>
      </c>
      <c r="H473" s="293" t="str">
        <f ca="1">IF(ISERROR($S473),"",OFFSET('Smelter Reference List'!$G$4,$S473-4,0))</f>
        <v/>
      </c>
      <c r="I473" s="294" t="str">
        <f ca="1">IF(ISERROR($S473),"",OFFSET('Smelter Reference List'!$H$4,$S473-4,0))</f>
        <v/>
      </c>
      <c r="J473" s="294" t="str">
        <f ca="1">IF(ISERROR($S473),"",OFFSET('Smelter Reference List'!$I$4,$S473-4,0))</f>
        <v/>
      </c>
      <c r="K473" s="295"/>
      <c r="L473" s="295"/>
      <c r="M473" s="295"/>
      <c r="N473" s="295"/>
      <c r="O473" s="295"/>
      <c r="P473" s="295"/>
      <c r="Q473" s="296"/>
      <c r="R473" s="227"/>
      <c r="S473" s="228" t="e">
        <f>IF(C473="",NA(),MATCH($B473&amp;$C473,'Smelter Reference List'!$J:$J,0))</f>
        <v>#N/A</v>
      </c>
      <c r="T473" s="229"/>
      <c r="U473" s="229">
        <f t="shared" ca="1" si="16"/>
        <v>0</v>
      </c>
      <c r="V473" s="229"/>
      <c r="W473" s="229"/>
      <c r="Y473" s="223" t="str">
        <f t="shared" si="17"/>
        <v/>
      </c>
    </row>
    <row r="474" spans="1:25" s="223" customFormat="1" ht="20.25">
      <c r="A474" s="291"/>
      <c r="B474" s="292" t="str">
        <f>IF(LEN(A474)=0,"",INDEX('Smelter Reference List'!$A:$A,MATCH($A474,'Smelter Reference List'!$E:$E,0)))</f>
        <v/>
      </c>
      <c r="C474" s="298" t="str">
        <f>IF(LEN(A474)=0,"",INDEX('Smelter Reference List'!$C:$C,MATCH($A474,'Smelter Reference List'!$E:$E,0)))</f>
        <v/>
      </c>
      <c r="D474" s="292" t="str">
        <f ca="1">IF(ISERROR($S474),"",OFFSET('Smelter Reference List'!$C$4,$S474-4,0)&amp;"")</f>
        <v/>
      </c>
      <c r="E474" s="292" t="str">
        <f ca="1">IF(ISERROR($S474),"",OFFSET('Smelter Reference List'!$D$4,$S474-4,0)&amp;"")</f>
        <v/>
      </c>
      <c r="F474" s="292" t="str">
        <f ca="1">IF(ISERROR($S474),"",OFFSET('Smelter Reference List'!$E$4,$S474-4,0))</f>
        <v/>
      </c>
      <c r="G474" s="292" t="str">
        <f ca="1">IF(C474=$U$4,"Enter smelter details", IF(ISERROR($S474),"",OFFSET('Smelter Reference List'!$F$4,$S474-4,0)))</f>
        <v/>
      </c>
      <c r="H474" s="293" t="str">
        <f ca="1">IF(ISERROR($S474),"",OFFSET('Smelter Reference List'!$G$4,$S474-4,0))</f>
        <v/>
      </c>
      <c r="I474" s="294" t="str">
        <f ca="1">IF(ISERROR($S474),"",OFFSET('Smelter Reference List'!$H$4,$S474-4,0))</f>
        <v/>
      </c>
      <c r="J474" s="294" t="str">
        <f ca="1">IF(ISERROR($S474),"",OFFSET('Smelter Reference List'!$I$4,$S474-4,0))</f>
        <v/>
      </c>
      <c r="K474" s="295"/>
      <c r="L474" s="295"/>
      <c r="M474" s="295"/>
      <c r="N474" s="295"/>
      <c r="O474" s="295"/>
      <c r="P474" s="295"/>
      <c r="Q474" s="296"/>
      <c r="R474" s="227"/>
      <c r="S474" s="228" t="e">
        <f>IF(C474="",NA(),MATCH($B474&amp;$C474,'Smelter Reference List'!$J:$J,0))</f>
        <v>#N/A</v>
      </c>
      <c r="T474" s="229"/>
      <c r="U474" s="229">
        <f t="shared" ca="1" si="16"/>
        <v>0</v>
      </c>
      <c r="V474" s="229"/>
      <c r="W474" s="229"/>
      <c r="Y474" s="223" t="str">
        <f t="shared" si="17"/>
        <v/>
      </c>
    </row>
    <row r="475" spans="1:25" s="223" customFormat="1" ht="20.25">
      <c r="A475" s="291"/>
      <c r="B475" s="292" t="str">
        <f>IF(LEN(A475)=0,"",INDEX('Smelter Reference List'!$A:$A,MATCH($A475,'Smelter Reference List'!$E:$E,0)))</f>
        <v/>
      </c>
      <c r="C475" s="298" t="str">
        <f>IF(LEN(A475)=0,"",INDEX('Smelter Reference List'!$C:$C,MATCH($A475,'Smelter Reference List'!$E:$E,0)))</f>
        <v/>
      </c>
      <c r="D475" s="292" t="str">
        <f ca="1">IF(ISERROR($S475),"",OFFSET('Smelter Reference List'!$C$4,$S475-4,0)&amp;"")</f>
        <v/>
      </c>
      <c r="E475" s="292" t="str">
        <f ca="1">IF(ISERROR($S475),"",OFFSET('Smelter Reference List'!$D$4,$S475-4,0)&amp;"")</f>
        <v/>
      </c>
      <c r="F475" s="292" t="str">
        <f ca="1">IF(ISERROR($S475),"",OFFSET('Smelter Reference List'!$E$4,$S475-4,0))</f>
        <v/>
      </c>
      <c r="G475" s="292" t="str">
        <f ca="1">IF(C475=$U$4,"Enter smelter details", IF(ISERROR($S475),"",OFFSET('Smelter Reference List'!$F$4,$S475-4,0)))</f>
        <v/>
      </c>
      <c r="H475" s="293" t="str">
        <f ca="1">IF(ISERROR($S475),"",OFFSET('Smelter Reference List'!$G$4,$S475-4,0))</f>
        <v/>
      </c>
      <c r="I475" s="294" t="str">
        <f ca="1">IF(ISERROR($S475),"",OFFSET('Smelter Reference List'!$H$4,$S475-4,0))</f>
        <v/>
      </c>
      <c r="J475" s="294" t="str">
        <f ca="1">IF(ISERROR($S475),"",OFFSET('Smelter Reference List'!$I$4,$S475-4,0))</f>
        <v/>
      </c>
      <c r="K475" s="295"/>
      <c r="L475" s="295"/>
      <c r="M475" s="295"/>
      <c r="N475" s="295"/>
      <c r="O475" s="295"/>
      <c r="P475" s="295"/>
      <c r="Q475" s="296"/>
      <c r="R475" s="227"/>
      <c r="S475" s="228" t="e">
        <f>IF(C475="",NA(),MATCH($B475&amp;$C475,'Smelter Reference List'!$J:$J,0))</f>
        <v>#N/A</v>
      </c>
      <c r="T475" s="229"/>
      <c r="U475" s="229">
        <f t="shared" ca="1" si="16"/>
        <v>0</v>
      </c>
      <c r="V475" s="229"/>
      <c r="W475" s="229"/>
      <c r="Y475" s="223" t="str">
        <f t="shared" si="17"/>
        <v/>
      </c>
    </row>
    <row r="476" spans="1:25" s="223" customFormat="1" ht="20.25">
      <c r="A476" s="291"/>
      <c r="B476" s="292" t="str">
        <f>IF(LEN(A476)=0,"",INDEX('Smelter Reference List'!$A:$A,MATCH($A476,'Smelter Reference List'!$E:$E,0)))</f>
        <v/>
      </c>
      <c r="C476" s="298" t="str">
        <f>IF(LEN(A476)=0,"",INDEX('Smelter Reference List'!$C:$C,MATCH($A476,'Smelter Reference List'!$E:$E,0)))</f>
        <v/>
      </c>
      <c r="D476" s="292" t="str">
        <f ca="1">IF(ISERROR($S476),"",OFFSET('Smelter Reference List'!$C$4,$S476-4,0)&amp;"")</f>
        <v/>
      </c>
      <c r="E476" s="292" t="str">
        <f ca="1">IF(ISERROR($S476),"",OFFSET('Smelter Reference List'!$D$4,$S476-4,0)&amp;"")</f>
        <v/>
      </c>
      <c r="F476" s="292" t="str">
        <f ca="1">IF(ISERROR($S476),"",OFFSET('Smelter Reference List'!$E$4,$S476-4,0))</f>
        <v/>
      </c>
      <c r="G476" s="292" t="str">
        <f ca="1">IF(C476=$U$4,"Enter smelter details", IF(ISERROR($S476),"",OFFSET('Smelter Reference List'!$F$4,$S476-4,0)))</f>
        <v/>
      </c>
      <c r="H476" s="293" t="str">
        <f ca="1">IF(ISERROR($S476),"",OFFSET('Smelter Reference List'!$G$4,$S476-4,0))</f>
        <v/>
      </c>
      <c r="I476" s="294" t="str">
        <f ca="1">IF(ISERROR($S476),"",OFFSET('Smelter Reference List'!$H$4,$S476-4,0))</f>
        <v/>
      </c>
      <c r="J476" s="294" t="str">
        <f ca="1">IF(ISERROR($S476),"",OFFSET('Smelter Reference List'!$I$4,$S476-4,0))</f>
        <v/>
      </c>
      <c r="K476" s="295"/>
      <c r="L476" s="295"/>
      <c r="M476" s="295"/>
      <c r="N476" s="295"/>
      <c r="O476" s="295"/>
      <c r="P476" s="295"/>
      <c r="Q476" s="296"/>
      <c r="R476" s="227"/>
      <c r="S476" s="228" t="e">
        <f>IF(C476="",NA(),MATCH($B476&amp;$C476,'Smelter Reference List'!$J:$J,0))</f>
        <v>#N/A</v>
      </c>
      <c r="T476" s="229"/>
      <c r="U476" s="229">
        <f t="shared" ca="1" si="16"/>
        <v>0</v>
      </c>
      <c r="V476" s="229"/>
      <c r="W476" s="229"/>
      <c r="Y476" s="223" t="str">
        <f t="shared" si="17"/>
        <v/>
      </c>
    </row>
    <row r="477" spans="1:25" s="223" customFormat="1" ht="20.25">
      <c r="A477" s="291"/>
      <c r="B477" s="292" t="str">
        <f>IF(LEN(A477)=0,"",INDEX('Smelter Reference List'!$A:$A,MATCH($A477,'Smelter Reference List'!$E:$E,0)))</f>
        <v/>
      </c>
      <c r="C477" s="298" t="str">
        <f>IF(LEN(A477)=0,"",INDEX('Smelter Reference List'!$C:$C,MATCH($A477,'Smelter Reference List'!$E:$E,0)))</f>
        <v/>
      </c>
      <c r="D477" s="292" t="str">
        <f ca="1">IF(ISERROR($S477),"",OFFSET('Smelter Reference List'!$C$4,$S477-4,0)&amp;"")</f>
        <v/>
      </c>
      <c r="E477" s="292" t="str">
        <f ca="1">IF(ISERROR($S477),"",OFFSET('Smelter Reference List'!$D$4,$S477-4,0)&amp;"")</f>
        <v/>
      </c>
      <c r="F477" s="292" t="str">
        <f ca="1">IF(ISERROR($S477),"",OFFSET('Smelter Reference List'!$E$4,$S477-4,0))</f>
        <v/>
      </c>
      <c r="G477" s="292" t="str">
        <f ca="1">IF(C477=$U$4,"Enter smelter details", IF(ISERROR($S477),"",OFFSET('Smelter Reference List'!$F$4,$S477-4,0)))</f>
        <v/>
      </c>
      <c r="H477" s="293" t="str">
        <f ca="1">IF(ISERROR($S477),"",OFFSET('Smelter Reference List'!$G$4,$S477-4,0))</f>
        <v/>
      </c>
      <c r="I477" s="294" t="str">
        <f ca="1">IF(ISERROR($S477),"",OFFSET('Smelter Reference List'!$H$4,$S477-4,0))</f>
        <v/>
      </c>
      <c r="J477" s="294" t="str">
        <f ca="1">IF(ISERROR($S477),"",OFFSET('Smelter Reference List'!$I$4,$S477-4,0))</f>
        <v/>
      </c>
      <c r="K477" s="295"/>
      <c r="L477" s="295"/>
      <c r="M477" s="295"/>
      <c r="N477" s="295"/>
      <c r="O477" s="295"/>
      <c r="P477" s="295"/>
      <c r="Q477" s="296"/>
      <c r="R477" s="227"/>
      <c r="S477" s="228" t="e">
        <f>IF(C477="",NA(),MATCH($B477&amp;$C477,'Smelter Reference List'!$J:$J,0))</f>
        <v>#N/A</v>
      </c>
      <c r="T477" s="229"/>
      <c r="U477" s="229">
        <f t="shared" ca="1" si="16"/>
        <v>0</v>
      </c>
      <c r="V477" s="229"/>
      <c r="W477" s="229"/>
      <c r="Y477" s="223" t="str">
        <f t="shared" si="17"/>
        <v/>
      </c>
    </row>
    <row r="478" spans="1:25" s="223" customFormat="1" ht="20.25">
      <c r="A478" s="291"/>
      <c r="B478" s="292" t="str">
        <f>IF(LEN(A478)=0,"",INDEX('Smelter Reference List'!$A:$A,MATCH($A478,'Smelter Reference List'!$E:$E,0)))</f>
        <v/>
      </c>
      <c r="C478" s="298" t="str">
        <f>IF(LEN(A478)=0,"",INDEX('Smelter Reference List'!$C:$C,MATCH($A478,'Smelter Reference List'!$E:$E,0)))</f>
        <v/>
      </c>
      <c r="D478" s="292" t="str">
        <f ca="1">IF(ISERROR($S478),"",OFFSET('Smelter Reference List'!$C$4,$S478-4,0)&amp;"")</f>
        <v/>
      </c>
      <c r="E478" s="292" t="str">
        <f ca="1">IF(ISERROR($S478),"",OFFSET('Smelter Reference List'!$D$4,$S478-4,0)&amp;"")</f>
        <v/>
      </c>
      <c r="F478" s="292" t="str">
        <f ca="1">IF(ISERROR($S478),"",OFFSET('Smelter Reference List'!$E$4,$S478-4,0))</f>
        <v/>
      </c>
      <c r="G478" s="292" t="str">
        <f ca="1">IF(C478=$U$4,"Enter smelter details", IF(ISERROR($S478),"",OFFSET('Smelter Reference List'!$F$4,$S478-4,0)))</f>
        <v/>
      </c>
      <c r="H478" s="293" t="str">
        <f ca="1">IF(ISERROR($S478),"",OFFSET('Smelter Reference List'!$G$4,$S478-4,0))</f>
        <v/>
      </c>
      <c r="I478" s="294" t="str">
        <f ca="1">IF(ISERROR($S478),"",OFFSET('Smelter Reference List'!$H$4,$S478-4,0))</f>
        <v/>
      </c>
      <c r="J478" s="294" t="str">
        <f ca="1">IF(ISERROR($S478),"",OFFSET('Smelter Reference List'!$I$4,$S478-4,0))</f>
        <v/>
      </c>
      <c r="K478" s="295"/>
      <c r="L478" s="295"/>
      <c r="M478" s="295"/>
      <c r="N478" s="295"/>
      <c r="O478" s="295"/>
      <c r="P478" s="295"/>
      <c r="Q478" s="296"/>
      <c r="R478" s="227"/>
      <c r="S478" s="228" t="e">
        <f>IF(C478="",NA(),MATCH($B478&amp;$C478,'Smelter Reference List'!$J:$J,0))</f>
        <v>#N/A</v>
      </c>
      <c r="T478" s="229"/>
      <c r="U478" s="229">
        <f t="shared" ca="1" si="16"/>
        <v>0</v>
      </c>
      <c r="V478" s="229"/>
      <c r="W478" s="229"/>
      <c r="Y478" s="223" t="str">
        <f t="shared" si="17"/>
        <v/>
      </c>
    </row>
    <row r="479" spans="1:25" s="223" customFormat="1" ht="20.25">
      <c r="A479" s="291"/>
      <c r="B479" s="292" t="str">
        <f>IF(LEN(A479)=0,"",INDEX('Smelter Reference List'!$A:$A,MATCH($A479,'Smelter Reference List'!$E:$E,0)))</f>
        <v/>
      </c>
      <c r="C479" s="298" t="str">
        <f>IF(LEN(A479)=0,"",INDEX('Smelter Reference List'!$C:$C,MATCH($A479,'Smelter Reference List'!$E:$E,0)))</f>
        <v/>
      </c>
      <c r="D479" s="292" t="str">
        <f ca="1">IF(ISERROR($S479),"",OFFSET('Smelter Reference List'!$C$4,$S479-4,0)&amp;"")</f>
        <v/>
      </c>
      <c r="E479" s="292" t="str">
        <f ca="1">IF(ISERROR($S479),"",OFFSET('Smelter Reference List'!$D$4,$S479-4,0)&amp;"")</f>
        <v/>
      </c>
      <c r="F479" s="292" t="str">
        <f ca="1">IF(ISERROR($S479),"",OFFSET('Smelter Reference List'!$E$4,$S479-4,0))</f>
        <v/>
      </c>
      <c r="G479" s="292" t="str">
        <f ca="1">IF(C479=$U$4,"Enter smelter details", IF(ISERROR($S479),"",OFFSET('Smelter Reference List'!$F$4,$S479-4,0)))</f>
        <v/>
      </c>
      <c r="H479" s="293" t="str">
        <f ca="1">IF(ISERROR($S479),"",OFFSET('Smelter Reference List'!$G$4,$S479-4,0))</f>
        <v/>
      </c>
      <c r="I479" s="294" t="str">
        <f ca="1">IF(ISERROR($S479),"",OFFSET('Smelter Reference List'!$H$4,$S479-4,0))</f>
        <v/>
      </c>
      <c r="J479" s="294" t="str">
        <f ca="1">IF(ISERROR($S479),"",OFFSET('Smelter Reference List'!$I$4,$S479-4,0))</f>
        <v/>
      </c>
      <c r="K479" s="295"/>
      <c r="L479" s="295"/>
      <c r="M479" s="295"/>
      <c r="N479" s="295"/>
      <c r="O479" s="295"/>
      <c r="P479" s="295"/>
      <c r="Q479" s="296"/>
      <c r="R479" s="227"/>
      <c r="S479" s="228" t="e">
        <f>IF(C479="",NA(),MATCH($B479&amp;$C479,'Smelter Reference List'!$J:$J,0))</f>
        <v>#N/A</v>
      </c>
      <c r="T479" s="229"/>
      <c r="U479" s="229">
        <f t="shared" ca="1" si="16"/>
        <v>0</v>
      </c>
      <c r="V479" s="229"/>
      <c r="W479" s="229"/>
      <c r="Y479" s="223" t="str">
        <f t="shared" si="17"/>
        <v/>
      </c>
    </row>
    <row r="480" spans="1:25" s="223" customFormat="1" ht="20.25">
      <c r="A480" s="291"/>
      <c r="B480" s="292" t="str">
        <f>IF(LEN(A480)=0,"",INDEX('Smelter Reference List'!$A:$A,MATCH($A480,'Smelter Reference List'!$E:$E,0)))</f>
        <v/>
      </c>
      <c r="C480" s="298" t="str">
        <f>IF(LEN(A480)=0,"",INDEX('Smelter Reference List'!$C:$C,MATCH($A480,'Smelter Reference List'!$E:$E,0)))</f>
        <v/>
      </c>
      <c r="D480" s="292" t="str">
        <f ca="1">IF(ISERROR($S480),"",OFFSET('Smelter Reference List'!$C$4,$S480-4,0)&amp;"")</f>
        <v/>
      </c>
      <c r="E480" s="292" t="str">
        <f ca="1">IF(ISERROR($S480),"",OFFSET('Smelter Reference List'!$D$4,$S480-4,0)&amp;"")</f>
        <v/>
      </c>
      <c r="F480" s="292" t="str">
        <f ca="1">IF(ISERROR($S480),"",OFFSET('Smelter Reference List'!$E$4,$S480-4,0))</f>
        <v/>
      </c>
      <c r="G480" s="292" t="str">
        <f ca="1">IF(C480=$U$4,"Enter smelter details", IF(ISERROR($S480),"",OFFSET('Smelter Reference List'!$F$4,$S480-4,0)))</f>
        <v/>
      </c>
      <c r="H480" s="293" t="str">
        <f ca="1">IF(ISERROR($S480),"",OFFSET('Smelter Reference List'!$G$4,$S480-4,0))</f>
        <v/>
      </c>
      <c r="I480" s="294" t="str">
        <f ca="1">IF(ISERROR($S480),"",OFFSET('Smelter Reference List'!$H$4,$S480-4,0))</f>
        <v/>
      </c>
      <c r="J480" s="294" t="str">
        <f ca="1">IF(ISERROR($S480),"",OFFSET('Smelter Reference List'!$I$4,$S480-4,0))</f>
        <v/>
      </c>
      <c r="K480" s="295"/>
      <c r="L480" s="295"/>
      <c r="M480" s="295"/>
      <c r="N480" s="295"/>
      <c r="O480" s="295"/>
      <c r="P480" s="295"/>
      <c r="Q480" s="296"/>
      <c r="R480" s="227"/>
      <c r="S480" s="228" t="e">
        <f>IF(C480="",NA(),MATCH($B480&amp;$C480,'Smelter Reference List'!$J:$J,0))</f>
        <v>#N/A</v>
      </c>
      <c r="T480" s="229"/>
      <c r="U480" s="229">
        <f t="shared" ca="1" si="16"/>
        <v>0</v>
      </c>
      <c r="V480" s="229"/>
      <c r="W480" s="229"/>
      <c r="Y480" s="223" t="str">
        <f t="shared" si="17"/>
        <v/>
      </c>
    </row>
    <row r="481" spans="1:25" s="223" customFormat="1" ht="20.25">
      <c r="A481" s="291"/>
      <c r="B481" s="292" t="str">
        <f>IF(LEN(A481)=0,"",INDEX('Smelter Reference List'!$A:$A,MATCH($A481,'Smelter Reference List'!$E:$E,0)))</f>
        <v/>
      </c>
      <c r="C481" s="298" t="str">
        <f>IF(LEN(A481)=0,"",INDEX('Smelter Reference List'!$C:$C,MATCH($A481,'Smelter Reference List'!$E:$E,0)))</f>
        <v/>
      </c>
      <c r="D481" s="292" t="str">
        <f ca="1">IF(ISERROR($S481),"",OFFSET('Smelter Reference List'!$C$4,$S481-4,0)&amp;"")</f>
        <v/>
      </c>
      <c r="E481" s="292" t="str">
        <f ca="1">IF(ISERROR($S481),"",OFFSET('Smelter Reference List'!$D$4,$S481-4,0)&amp;"")</f>
        <v/>
      </c>
      <c r="F481" s="292" t="str">
        <f ca="1">IF(ISERROR($S481),"",OFFSET('Smelter Reference List'!$E$4,$S481-4,0))</f>
        <v/>
      </c>
      <c r="G481" s="292" t="str">
        <f ca="1">IF(C481=$U$4,"Enter smelter details", IF(ISERROR($S481),"",OFFSET('Smelter Reference List'!$F$4,$S481-4,0)))</f>
        <v/>
      </c>
      <c r="H481" s="293" t="str">
        <f ca="1">IF(ISERROR($S481),"",OFFSET('Smelter Reference List'!$G$4,$S481-4,0))</f>
        <v/>
      </c>
      <c r="I481" s="294" t="str">
        <f ca="1">IF(ISERROR($S481),"",OFFSET('Smelter Reference List'!$H$4,$S481-4,0))</f>
        <v/>
      </c>
      <c r="J481" s="294" t="str">
        <f ca="1">IF(ISERROR($S481),"",OFFSET('Smelter Reference List'!$I$4,$S481-4,0))</f>
        <v/>
      </c>
      <c r="K481" s="295"/>
      <c r="L481" s="295"/>
      <c r="M481" s="295"/>
      <c r="N481" s="295"/>
      <c r="O481" s="295"/>
      <c r="P481" s="295"/>
      <c r="Q481" s="296"/>
      <c r="R481" s="227"/>
      <c r="S481" s="228" t="e">
        <f>IF(C481="",NA(),MATCH($B481&amp;$C481,'Smelter Reference List'!$J:$J,0))</f>
        <v>#N/A</v>
      </c>
      <c r="T481" s="229"/>
      <c r="U481" s="229">
        <f t="shared" ca="1" si="16"/>
        <v>0</v>
      </c>
      <c r="V481" s="229"/>
      <c r="W481" s="229"/>
      <c r="Y481" s="223" t="str">
        <f t="shared" si="17"/>
        <v/>
      </c>
    </row>
    <row r="482" spans="1:25" s="223" customFormat="1" ht="20.25">
      <c r="A482" s="291"/>
      <c r="B482" s="292" t="str">
        <f>IF(LEN(A482)=0,"",INDEX('Smelter Reference List'!$A:$A,MATCH($A482,'Smelter Reference List'!$E:$E,0)))</f>
        <v/>
      </c>
      <c r="C482" s="298" t="str">
        <f>IF(LEN(A482)=0,"",INDEX('Smelter Reference List'!$C:$C,MATCH($A482,'Smelter Reference List'!$E:$E,0)))</f>
        <v/>
      </c>
      <c r="D482" s="292" t="str">
        <f ca="1">IF(ISERROR($S482),"",OFFSET('Smelter Reference List'!$C$4,$S482-4,0)&amp;"")</f>
        <v/>
      </c>
      <c r="E482" s="292" t="str">
        <f ca="1">IF(ISERROR($S482),"",OFFSET('Smelter Reference List'!$D$4,$S482-4,0)&amp;"")</f>
        <v/>
      </c>
      <c r="F482" s="292" t="str">
        <f ca="1">IF(ISERROR($S482),"",OFFSET('Smelter Reference List'!$E$4,$S482-4,0))</f>
        <v/>
      </c>
      <c r="G482" s="292" t="str">
        <f ca="1">IF(C482=$U$4,"Enter smelter details", IF(ISERROR($S482),"",OFFSET('Smelter Reference List'!$F$4,$S482-4,0)))</f>
        <v/>
      </c>
      <c r="H482" s="293" t="str">
        <f ca="1">IF(ISERROR($S482),"",OFFSET('Smelter Reference List'!$G$4,$S482-4,0))</f>
        <v/>
      </c>
      <c r="I482" s="294" t="str">
        <f ca="1">IF(ISERROR($S482),"",OFFSET('Smelter Reference List'!$H$4,$S482-4,0))</f>
        <v/>
      </c>
      <c r="J482" s="294" t="str">
        <f ca="1">IF(ISERROR($S482),"",OFFSET('Smelter Reference List'!$I$4,$S482-4,0))</f>
        <v/>
      </c>
      <c r="K482" s="295"/>
      <c r="L482" s="295"/>
      <c r="M482" s="295"/>
      <c r="N482" s="295"/>
      <c r="O482" s="295"/>
      <c r="P482" s="295"/>
      <c r="Q482" s="296"/>
      <c r="R482" s="227"/>
      <c r="S482" s="228" t="e">
        <f>IF(C482="",NA(),MATCH($B482&amp;$C482,'Smelter Reference List'!$J:$J,0))</f>
        <v>#N/A</v>
      </c>
      <c r="T482" s="229"/>
      <c r="U482" s="229">
        <f t="shared" ca="1" si="16"/>
        <v>0</v>
      </c>
      <c r="V482" s="229"/>
      <c r="W482" s="229"/>
      <c r="Y482" s="223" t="str">
        <f t="shared" si="17"/>
        <v/>
      </c>
    </row>
    <row r="483" spans="1:25" s="223" customFormat="1" ht="20.25">
      <c r="A483" s="291"/>
      <c r="B483" s="292" t="str">
        <f>IF(LEN(A483)=0,"",INDEX('Smelter Reference List'!$A:$A,MATCH($A483,'Smelter Reference List'!$E:$E,0)))</f>
        <v/>
      </c>
      <c r="C483" s="298" t="str">
        <f>IF(LEN(A483)=0,"",INDEX('Smelter Reference List'!$C:$C,MATCH($A483,'Smelter Reference List'!$E:$E,0)))</f>
        <v/>
      </c>
      <c r="D483" s="292" t="str">
        <f ca="1">IF(ISERROR($S483),"",OFFSET('Smelter Reference List'!$C$4,$S483-4,0)&amp;"")</f>
        <v/>
      </c>
      <c r="E483" s="292" t="str">
        <f ca="1">IF(ISERROR($S483),"",OFFSET('Smelter Reference List'!$D$4,$S483-4,0)&amp;"")</f>
        <v/>
      </c>
      <c r="F483" s="292" t="str">
        <f ca="1">IF(ISERROR($S483),"",OFFSET('Smelter Reference List'!$E$4,$S483-4,0))</f>
        <v/>
      </c>
      <c r="G483" s="292" t="str">
        <f ca="1">IF(C483=$U$4,"Enter smelter details", IF(ISERROR($S483),"",OFFSET('Smelter Reference List'!$F$4,$S483-4,0)))</f>
        <v/>
      </c>
      <c r="H483" s="293" t="str">
        <f ca="1">IF(ISERROR($S483),"",OFFSET('Smelter Reference List'!$G$4,$S483-4,0))</f>
        <v/>
      </c>
      <c r="I483" s="294" t="str">
        <f ca="1">IF(ISERROR($S483),"",OFFSET('Smelter Reference List'!$H$4,$S483-4,0))</f>
        <v/>
      </c>
      <c r="J483" s="294" t="str">
        <f ca="1">IF(ISERROR($S483),"",OFFSET('Smelter Reference List'!$I$4,$S483-4,0))</f>
        <v/>
      </c>
      <c r="K483" s="295"/>
      <c r="L483" s="295"/>
      <c r="M483" s="295"/>
      <c r="N483" s="295"/>
      <c r="O483" s="295"/>
      <c r="P483" s="295"/>
      <c r="Q483" s="296"/>
      <c r="R483" s="227"/>
      <c r="S483" s="228" t="e">
        <f>IF(C483="",NA(),MATCH($B483&amp;$C483,'Smelter Reference List'!$J:$J,0))</f>
        <v>#N/A</v>
      </c>
      <c r="T483" s="229"/>
      <c r="U483" s="229">
        <f t="shared" ca="1" si="16"/>
        <v>0</v>
      </c>
      <c r="V483" s="229"/>
      <c r="W483" s="229"/>
      <c r="Y483" s="223" t="str">
        <f t="shared" si="17"/>
        <v/>
      </c>
    </row>
    <row r="484" spans="1:25" s="223" customFormat="1" ht="20.25">
      <c r="A484" s="291"/>
      <c r="B484" s="292" t="str">
        <f>IF(LEN(A484)=0,"",INDEX('Smelter Reference List'!$A:$A,MATCH($A484,'Smelter Reference List'!$E:$E,0)))</f>
        <v/>
      </c>
      <c r="C484" s="298" t="str">
        <f>IF(LEN(A484)=0,"",INDEX('Smelter Reference List'!$C:$C,MATCH($A484,'Smelter Reference List'!$E:$E,0)))</f>
        <v/>
      </c>
      <c r="D484" s="292" t="str">
        <f ca="1">IF(ISERROR($S484),"",OFFSET('Smelter Reference List'!$C$4,$S484-4,0)&amp;"")</f>
        <v/>
      </c>
      <c r="E484" s="292" t="str">
        <f ca="1">IF(ISERROR($S484),"",OFFSET('Smelter Reference List'!$D$4,$S484-4,0)&amp;"")</f>
        <v/>
      </c>
      <c r="F484" s="292" t="str">
        <f ca="1">IF(ISERROR($S484),"",OFFSET('Smelter Reference List'!$E$4,$S484-4,0))</f>
        <v/>
      </c>
      <c r="G484" s="292" t="str">
        <f ca="1">IF(C484=$U$4,"Enter smelter details", IF(ISERROR($S484),"",OFFSET('Smelter Reference List'!$F$4,$S484-4,0)))</f>
        <v/>
      </c>
      <c r="H484" s="293" t="str">
        <f ca="1">IF(ISERROR($S484),"",OFFSET('Smelter Reference List'!$G$4,$S484-4,0))</f>
        <v/>
      </c>
      <c r="I484" s="294" t="str">
        <f ca="1">IF(ISERROR($S484),"",OFFSET('Smelter Reference List'!$H$4,$S484-4,0))</f>
        <v/>
      </c>
      <c r="J484" s="294" t="str">
        <f ca="1">IF(ISERROR($S484),"",OFFSET('Smelter Reference List'!$I$4,$S484-4,0))</f>
        <v/>
      </c>
      <c r="K484" s="295"/>
      <c r="L484" s="295"/>
      <c r="M484" s="295"/>
      <c r="N484" s="295"/>
      <c r="O484" s="295"/>
      <c r="P484" s="295"/>
      <c r="Q484" s="296"/>
      <c r="R484" s="227"/>
      <c r="S484" s="228" t="e">
        <f>IF(C484="",NA(),MATCH($B484&amp;$C484,'Smelter Reference List'!$J:$J,0))</f>
        <v>#N/A</v>
      </c>
      <c r="T484" s="229"/>
      <c r="U484" s="229">
        <f t="shared" ca="1" si="16"/>
        <v>0</v>
      </c>
      <c r="V484" s="229"/>
      <c r="W484" s="229"/>
      <c r="Y484" s="223" t="str">
        <f t="shared" si="17"/>
        <v/>
      </c>
    </row>
    <row r="485" spans="1:25" s="223" customFormat="1" ht="20.25">
      <c r="A485" s="291"/>
      <c r="B485" s="292" t="str">
        <f>IF(LEN(A485)=0,"",INDEX('Smelter Reference List'!$A:$A,MATCH($A485,'Smelter Reference List'!$E:$E,0)))</f>
        <v/>
      </c>
      <c r="C485" s="298" t="str">
        <f>IF(LEN(A485)=0,"",INDEX('Smelter Reference List'!$C:$C,MATCH($A485,'Smelter Reference List'!$E:$E,0)))</f>
        <v/>
      </c>
      <c r="D485" s="292" t="str">
        <f ca="1">IF(ISERROR($S485),"",OFFSET('Smelter Reference List'!$C$4,$S485-4,0)&amp;"")</f>
        <v/>
      </c>
      <c r="E485" s="292" t="str">
        <f ca="1">IF(ISERROR($S485),"",OFFSET('Smelter Reference List'!$D$4,$S485-4,0)&amp;"")</f>
        <v/>
      </c>
      <c r="F485" s="292" t="str">
        <f ca="1">IF(ISERROR($S485),"",OFFSET('Smelter Reference List'!$E$4,$S485-4,0))</f>
        <v/>
      </c>
      <c r="G485" s="292" t="str">
        <f ca="1">IF(C485=$U$4,"Enter smelter details", IF(ISERROR($S485),"",OFFSET('Smelter Reference List'!$F$4,$S485-4,0)))</f>
        <v/>
      </c>
      <c r="H485" s="293" t="str">
        <f ca="1">IF(ISERROR($S485),"",OFFSET('Smelter Reference List'!$G$4,$S485-4,0))</f>
        <v/>
      </c>
      <c r="I485" s="294" t="str">
        <f ca="1">IF(ISERROR($S485),"",OFFSET('Smelter Reference List'!$H$4,$S485-4,0))</f>
        <v/>
      </c>
      <c r="J485" s="294" t="str">
        <f ca="1">IF(ISERROR($S485),"",OFFSET('Smelter Reference List'!$I$4,$S485-4,0))</f>
        <v/>
      </c>
      <c r="K485" s="295"/>
      <c r="L485" s="295"/>
      <c r="M485" s="295"/>
      <c r="N485" s="295"/>
      <c r="O485" s="295"/>
      <c r="P485" s="295"/>
      <c r="Q485" s="296"/>
      <c r="R485" s="227"/>
      <c r="S485" s="228" t="e">
        <f>IF(C485="",NA(),MATCH($B485&amp;$C485,'Smelter Reference List'!$J:$J,0))</f>
        <v>#N/A</v>
      </c>
      <c r="T485" s="229"/>
      <c r="U485" s="229">
        <f t="shared" ca="1" si="16"/>
        <v>0</v>
      </c>
      <c r="V485" s="229"/>
      <c r="W485" s="229"/>
      <c r="Y485" s="223" t="str">
        <f t="shared" si="17"/>
        <v/>
      </c>
    </row>
    <row r="486" spans="1:25" s="223" customFormat="1" ht="20.25">
      <c r="A486" s="291"/>
      <c r="B486" s="292" t="str">
        <f>IF(LEN(A486)=0,"",INDEX('Smelter Reference List'!$A:$A,MATCH($A486,'Smelter Reference List'!$E:$E,0)))</f>
        <v/>
      </c>
      <c r="C486" s="298" t="str">
        <f>IF(LEN(A486)=0,"",INDEX('Smelter Reference List'!$C:$C,MATCH($A486,'Smelter Reference List'!$E:$E,0)))</f>
        <v/>
      </c>
      <c r="D486" s="292" t="str">
        <f ca="1">IF(ISERROR($S486),"",OFFSET('Smelter Reference List'!$C$4,$S486-4,0)&amp;"")</f>
        <v/>
      </c>
      <c r="E486" s="292" t="str">
        <f ca="1">IF(ISERROR($S486),"",OFFSET('Smelter Reference List'!$D$4,$S486-4,0)&amp;"")</f>
        <v/>
      </c>
      <c r="F486" s="292" t="str">
        <f ca="1">IF(ISERROR($S486),"",OFFSET('Smelter Reference List'!$E$4,$S486-4,0))</f>
        <v/>
      </c>
      <c r="G486" s="292" t="str">
        <f ca="1">IF(C486=$U$4,"Enter smelter details", IF(ISERROR($S486),"",OFFSET('Smelter Reference List'!$F$4,$S486-4,0)))</f>
        <v/>
      </c>
      <c r="H486" s="293" t="str">
        <f ca="1">IF(ISERROR($S486),"",OFFSET('Smelter Reference List'!$G$4,$S486-4,0))</f>
        <v/>
      </c>
      <c r="I486" s="294" t="str">
        <f ca="1">IF(ISERROR($S486),"",OFFSET('Smelter Reference List'!$H$4,$S486-4,0))</f>
        <v/>
      </c>
      <c r="J486" s="294" t="str">
        <f ca="1">IF(ISERROR($S486),"",OFFSET('Smelter Reference List'!$I$4,$S486-4,0))</f>
        <v/>
      </c>
      <c r="K486" s="295"/>
      <c r="L486" s="295"/>
      <c r="M486" s="295"/>
      <c r="N486" s="295"/>
      <c r="O486" s="295"/>
      <c r="P486" s="295"/>
      <c r="Q486" s="296"/>
      <c r="R486" s="227"/>
      <c r="S486" s="228" t="e">
        <f>IF(C486="",NA(),MATCH($B486&amp;$C486,'Smelter Reference List'!$J:$J,0))</f>
        <v>#N/A</v>
      </c>
      <c r="T486" s="229"/>
      <c r="U486" s="229">
        <f t="shared" ca="1" si="16"/>
        <v>0</v>
      </c>
      <c r="V486" s="229"/>
      <c r="W486" s="229"/>
      <c r="Y486" s="223" t="str">
        <f t="shared" si="17"/>
        <v/>
      </c>
    </row>
    <row r="487" spans="1:25" s="223" customFormat="1" ht="20.25">
      <c r="A487" s="291"/>
      <c r="B487" s="292" t="str">
        <f>IF(LEN(A487)=0,"",INDEX('Smelter Reference List'!$A:$A,MATCH($A487,'Smelter Reference List'!$E:$E,0)))</f>
        <v/>
      </c>
      <c r="C487" s="298" t="str">
        <f>IF(LEN(A487)=0,"",INDEX('Smelter Reference List'!$C:$C,MATCH($A487,'Smelter Reference List'!$E:$E,0)))</f>
        <v/>
      </c>
      <c r="D487" s="292" t="str">
        <f ca="1">IF(ISERROR($S487),"",OFFSET('Smelter Reference List'!$C$4,$S487-4,0)&amp;"")</f>
        <v/>
      </c>
      <c r="E487" s="292" t="str">
        <f ca="1">IF(ISERROR($S487),"",OFFSET('Smelter Reference List'!$D$4,$S487-4,0)&amp;"")</f>
        <v/>
      </c>
      <c r="F487" s="292" t="str">
        <f ca="1">IF(ISERROR($S487),"",OFFSET('Smelter Reference List'!$E$4,$S487-4,0))</f>
        <v/>
      </c>
      <c r="G487" s="292" t="str">
        <f ca="1">IF(C487=$U$4,"Enter smelter details", IF(ISERROR($S487),"",OFFSET('Smelter Reference List'!$F$4,$S487-4,0)))</f>
        <v/>
      </c>
      <c r="H487" s="293" t="str">
        <f ca="1">IF(ISERROR($S487),"",OFFSET('Smelter Reference List'!$G$4,$S487-4,0))</f>
        <v/>
      </c>
      <c r="I487" s="294" t="str">
        <f ca="1">IF(ISERROR($S487),"",OFFSET('Smelter Reference List'!$H$4,$S487-4,0))</f>
        <v/>
      </c>
      <c r="J487" s="294" t="str">
        <f ca="1">IF(ISERROR($S487),"",OFFSET('Smelter Reference List'!$I$4,$S487-4,0))</f>
        <v/>
      </c>
      <c r="K487" s="295"/>
      <c r="L487" s="295"/>
      <c r="M487" s="295"/>
      <c r="N487" s="295"/>
      <c r="O487" s="295"/>
      <c r="P487" s="295"/>
      <c r="Q487" s="296"/>
      <c r="R487" s="227"/>
      <c r="S487" s="228" t="e">
        <f>IF(C487="",NA(),MATCH($B487&amp;$C487,'Smelter Reference List'!$J:$J,0))</f>
        <v>#N/A</v>
      </c>
      <c r="T487" s="229"/>
      <c r="U487" s="229">
        <f t="shared" ca="1" si="16"/>
        <v>0</v>
      </c>
      <c r="V487" s="229"/>
      <c r="W487" s="229"/>
      <c r="Y487" s="223" t="str">
        <f t="shared" si="17"/>
        <v/>
      </c>
    </row>
    <row r="488" spans="1:25" s="223" customFormat="1" ht="20.25">
      <c r="A488" s="291"/>
      <c r="B488" s="292" t="str">
        <f>IF(LEN(A488)=0,"",INDEX('Smelter Reference List'!$A:$A,MATCH($A488,'Smelter Reference List'!$E:$E,0)))</f>
        <v/>
      </c>
      <c r="C488" s="298" t="str">
        <f>IF(LEN(A488)=0,"",INDEX('Smelter Reference List'!$C:$C,MATCH($A488,'Smelter Reference List'!$E:$E,0)))</f>
        <v/>
      </c>
      <c r="D488" s="292" t="str">
        <f ca="1">IF(ISERROR($S488),"",OFFSET('Smelter Reference List'!$C$4,$S488-4,0)&amp;"")</f>
        <v/>
      </c>
      <c r="E488" s="292" t="str">
        <f ca="1">IF(ISERROR($S488),"",OFFSET('Smelter Reference List'!$D$4,$S488-4,0)&amp;"")</f>
        <v/>
      </c>
      <c r="F488" s="292" t="str">
        <f ca="1">IF(ISERROR($S488),"",OFFSET('Smelter Reference List'!$E$4,$S488-4,0))</f>
        <v/>
      </c>
      <c r="G488" s="292" t="str">
        <f ca="1">IF(C488=$U$4,"Enter smelter details", IF(ISERROR($S488),"",OFFSET('Smelter Reference List'!$F$4,$S488-4,0)))</f>
        <v/>
      </c>
      <c r="H488" s="293" t="str">
        <f ca="1">IF(ISERROR($S488),"",OFFSET('Smelter Reference List'!$G$4,$S488-4,0))</f>
        <v/>
      </c>
      <c r="I488" s="294" t="str">
        <f ca="1">IF(ISERROR($S488),"",OFFSET('Smelter Reference List'!$H$4,$S488-4,0))</f>
        <v/>
      </c>
      <c r="J488" s="294" t="str">
        <f ca="1">IF(ISERROR($S488),"",OFFSET('Smelter Reference List'!$I$4,$S488-4,0))</f>
        <v/>
      </c>
      <c r="K488" s="295"/>
      <c r="L488" s="295"/>
      <c r="M488" s="295"/>
      <c r="N488" s="295"/>
      <c r="O488" s="295"/>
      <c r="P488" s="295"/>
      <c r="Q488" s="296"/>
      <c r="R488" s="227"/>
      <c r="S488" s="228" t="e">
        <f>IF(C488="",NA(),MATCH($B488&amp;$C488,'Smelter Reference List'!$J:$J,0))</f>
        <v>#N/A</v>
      </c>
      <c r="T488" s="229"/>
      <c r="U488" s="229">
        <f t="shared" ca="1" si="16"/>
        <v>0</v>
      </c>
      <c r="V488" s="229"/>
      <c r="W488" s="229"/>
      <c r="Y488" s="223" t="str">
        <f t="shared" si="17"/>
        <v/>
      </c>
    </row>
    <row r="489" spans="1:25" s="223" customFormat="1" ht="20.25">
      <c r="A489" s="291"/>
      <c r="B489" s="292" t="str">
        <f>IF(LEN(A489)=0,"",INDEX('Smelter Reference List'!$A:$A,MATCH($A489,'Smelter Reference List'!$E:$E,0)))</f>
        <v/>
      </c>
      <c r="C489" s="298" t="str">
        <f>IF(LEN(A489)=0,"",INDEX('Smelter Reference List'!$C:$C,MATCH($A489,'Smelter Reference List'!$E:$E,0)))</f>
        <v/>
      </c>
      <c r="D489" s="292" t="str">
        <f ca="1">IF(ISERROR($S489),"",OFFSET('Smelter Reference List'!$C$4,$S489-4,0)&amp;"")</f>
        <v/>
      </c>
      <c r="E489" s="292" t="str">
        <f ca="1">IF(ISERROR($S489),"",OFFSET('Smelter Reference List'!$D$4,$S489-4,0)&amp;"")</f>
        <v/>
      </c>
      <c r="F489" s="292" t="str">
        <f ca="1">IF(ISERROR($S489),"",OFFSET('Smelter Reference List'!$E$4,$S489-4,0))</f>
        <v/>
      </c>
      <c r="G489" s="292" t="str">
        <f ca="1">IF(C489=$U$4,"Enter smelter details", IF(ISERROR($S489),"",OFFSET('Smelter Reference List'!$F$4,$S489-4,0)))</f>
        <v/>
      </c>
      <c r="H489" s="293" t="str">
        <f ca="1">IF(ISERROR($S489),"",OFFSET('Smelter Reference List'!$G$4,$S489-4,0))</f>
        <v/>
      </c>
      <c r="I489" s="294" t="str">
        <f ca="1">IF(ISERROR($S489),"",OFFSET('Smelter Reference List'!$H$4,$S489-4,0))</f>
        <v/>
      </c>
      <c r="J489" s="294" t="str">
        <f ca="1">IF(ISERROR($S489),"",OFFSET('Smelter Reference List'!$I$4,$S489-4,0))</f>
        <v/>
      </c>
      <c r="K489" s="295"/>
      <c r="L489" s="295"/>
      <c r="M489" s="295"/>
      <c r="N489" s="295"/>
      <c r="O489" s="295"/>
      <c r="P489" s="295"/>
      <c r="Q489" s="296"/>
      <c r="R489" s="227"/>
      <c r="S489" s="228" t="e">
        <f>IF(C489="",NA(),MATCH($B489&amp;$C489,'Smelter Reference List'!$J:$J,0))</f>
        <v>#N/A</v>
      </c>
      <c r="T489" s="229"/>
      <c r="U489" s="229">
        <f t="shared" ca="1" si="16"/>
        <v>0</v>
      </c>
      <c r="V489" s="229"/>
      <c r="W489" s="229"/>
      <c r="Y489" s="223" t="str">
        <f t="shared" si="17"/>
        <v/>
      </c>
    </row>
    <row r="490" spans="1:25" s="223" customFormat="1" ht="20.25">
      <c r="A490" s="291"/>
      <c r="B490" s="292" t="str">
        <f>IF(LEN(A490)=0,"",INDEX('Smelter Reference List'!$A:$A,MATCH($A490,'Smelter Reference List'!$E:$E,0)))</f>
        <v/>
      </c>
      <c r="C490" s="298" t="str">
        <f>IF(LEN(A490)=0,"",INDEX('Smelter Reference List'!$C:$C,MATCH($A490,'Smelter Reference List'!$E:$E,0)))</f>
        <v/>
      </c>
      <c r="D490" s="292" t="str">
        <f ca="1">IF(ISERROR($S490),"",OFFSET('Smelter Reference List'!$C$4,$S490-4,0)&amp;"")</f>
        <v/>
      </c>
      <c r="E490" s="292" t="str">
        <f ca="1">IF(ISERROR($S490),"",OFFSET('Smelter Reference List'!$D$4,$S490-4,0)&amp;"")</f>
        <v/>
      </c>
      <c r="F490" s="292" t="str">
        <f ca="1">IF(ISERROR($S490),"",OFFSET('Smelter Reference List'!$E$4,$S490-4,0))</f>
        <v/>
      </c>
      <c r="G490" s="292" t="str">
        <f ca="1">IF(C490=$U$4,"Enter smelter details", IF(ISERROR($S490),"",OFFSET('Smelter Reference List'!$F$4,$S490-4,0)))</f>
        <v/>
      </c>
      <c r="H490" s="293" t="str">
        <f ca="1">IF(ISERROR($S490),"",OFFSET('Smelter Reference List'!$G$4,$S490-4,0))</f>
        <v/>
      </c>
      <c r="I490" s="294" t="str">
        <f ca="1">IF(ISERROR($S490),"",OFFSET('Smelter Reference List'!$H$4,$S490-4,0))</f>
        <v/>
      </c>
      <c r="J490" s="294" t="str">
        <f ca="1">IF(ISERROR($S490),"",OFFSET('Smelter Reference List'!$I$4,$S490-4,0))</f>
        <v/>
      </c>
      <c r="K490" s="295"/>
      <c r="L490" s="295"/>
      <c r="M490" s="295"/>
      <c r="N490" s="295"/>
      <c r="O490" s="295"/>
      <c r="P490" s="295"/>
      <c r="Q490" s="296"/>
      <c r="R490" s="227"/>
      <c r="S490" s="228" t="e">
        <f>IF(C490="",NA(),MATCH($B490&amp;$C490,'Smelter Reference List'!$J:$J,0))</f>
        <v>#N/A</v>
      </c>
      <c r="T490" s="229"/>
      <c r="U490" s="229">
        <f t="shared" ca="1" si="16"/>
        <v>0</v>
      </c>
      <c r="V490" s="229"/>
      <c r="W490" s="229"/>
      <c r="Y490" s="223" t="str">
        <f t="shared" si="17"/>
        <v/>
      </c>
    </row>
    <row r="491" spans="1:25" s="223" customFormat="1" ht="20.25">
      <c r="A491" s="291"/>
      <c r="B491" s="292" t="str">
        <f>IF(LEN(A491)=0,"",INDEX('Smelter Reference List'!$A:$A,MATCH($A491,'Smelter Reference List'!$E:$E,0)))</f>
        <v/>
      </c>
      <c r="C491" s="298" t="str">
        <f>IF(LEN(A491)=0,"",INDEX('Smelter Reference List'!$C:$C,MATCH($A491,'Smelter Reference List'!$E:$E,0)))</f>
        <v/>
      </c>
      <c r="D491" s="292" t="str">
        <f ca="1">IF(ISERROR($S491),"",OFFSET('Smelter Reference List'!$C$4,$S491-4,0)&amp;"")</f>
        <v/>
      </c>
      <c r="E491" s="292" t="str">
        <f ca="1">IF(ISERROR($S491),"",OFFSET('Smelter Reference List'!$D$4,$S491-4,0)&amp;"")</f>
        <v/>
      </c>
      <c r="F491" s="292" t="str">
        <f ca="1">IF(ISERROR($S491),"",OFFSET('Smelter Reference List'!$E$4,$S491-4,0))</f>
        <v/>
      </c>
      <c r="G491" s="292" t="str">
        <f ca="1">IF(C491=$U$4,"Enter smelter details", IF(ISERROR($S491),"",OFFSET('Smelter Reference List'!$F$4,$S491-4,0)))</f>
        <v/>
      </c>
      <c r="H491" s="293" t="str">
        <f ca="1">IF(ISERROR($S491),"",OFFSET('Smelter Reference List'!$G$4,$S491-4,0))</f>
        <v/>
      </c>
      <c r="I491" s="294" t="str">
        <f ca="1">IF(ISERROR($S491),"",OFFSET('Smelter Reference List'!$H$4,$S491-4,0))</f>
        <v/>
      </c>
      <c r="J491" s="294" t="str">
        <f ca="1">IF(ISERROR($S491),"",OFFSET('Smelter Reference List'!$I$4,$S491-4,0))</f>
        <v/>
      </c>
      <c r="K491" s="295"/>
      <c r="L491" s="295"/>
      <c r="M491" s="295"/>
      <c r="N491" s="295"/>
      <c r="O491" s="295"/>
      <c r="P491" s="295"/>
      <c r="Q491" s="296"/>
      <c r="R491" s="227"/>
      <c r="S491" s="228" t="e">
        <f>IF(C491="",NA(),MATCH($B491&amp;$C491,'Smelter Reference List'!$J:$J,0))</f>
        <v>#N/A</v>
      </c>
      <c r="T491" s="229"/>
      <c r="U491" s="229">
        <f t="shared" ca="1" si="16"/>
        <v>0</v>
      </c>
      <c r="V491" s="229"/>
      <c r="W491" s="229"/>
      <c r="Y491" s="223" t="str">
        <f t="shared" si="17"/>
        <v/>
      </c>
    </row>
    <row r="492" spans="1:25" s="223" customFormat="1" ht="20.25">
      <c r="A492" s="291"/>
      <c r="B492" s="292" t="str">
        <f>IF(LEN(A492)=0,"",INDEX('Smelter Reference List'!$A:$A,MATCH($A492,'Smelter Reference List'!$E:$E,0)))</f>
        <v/>
      </c>
      <c r="C492" s="298" t="str">
        <f>IF(LEN(A492)=0,"",INDEX('Smelter Reference List'!$C:$C,MATCH($A492,'Smelter Reference List'!$E:$E,0)))</f>
        <v/>
      </c>
      <c r="D492" s="292" t="str">
        <f ca="1">IF(ISERROR($S492),"",OFFSET('Smelter Reference List'!$C$4,$S492-4,0)&amp;"")</f>
        <v/>
      </c>
      <c r="E492" s="292" t="str">
        <f ca="1">IF(ISERROR($S492),"",OFFSET('Smelter Reference List'!$D$4,$S492-4,0)&amp;"")</f>
        <v/>
      </c>
      <c r="F492" s="292" t="str">
        <f ca="1">IF(ISERROR($S492),"",OFFSET('Smelter Reference List'!$E$4,$S492-4,0))</f>
        <v/>
      </c>
      <c r="G492" s="292" t="str">
        <f ca="1">IF(C492=$U$4,"Enter smelter details", IF(ISERROR($S492),"",OFFSET('Smelter Reference List'!$F$4,$S492-4,0)))</f>
        <v/>
      </c>
      <c r="H492" s="293" t="str">
        <f ca="1">IF(ISERROR($S492),"",OFFSET('Smelter Reference List'!$G$4,$S492-4,0))</f>
        <v/>
      </c>
      <c r="I492" s="294" t="str">
        <f ca="1">IF(ISERROR($S492),"",OFFSET('Smelter Reference List'!$H$4,$S492-4,0))</f>
        <v/>
      </c>
      <c r="J492" s="294" t="str">
        <f ca="1">IF(ISERROR($S492),"",OFFSET('Smelter Reference List'!$I$4,$S492-4,0))</f>
        <v/>
      </c>
      <c r="K492" s="295"/>
      <c r="L492" s="295"/>
      <c r="M492" s="295"/>
      <c r="N492" s="295"/>
      <c r="O492" s="295"/>
      <c r="P492" s="295"/>
      <c r="Q492" s="296"/>
      <c r="R492" s="227"/>
      <c r="S492" s="228" t="e">
        <f>IF(C492="",NA(),MATCH($B492&amp;$C492,'Smelter Reference List'!$J:$J,0))</f>
        <v>#N/A</v>
      </c>
      <c r="T492" s="229"/>
      <c r="U492" s="229">
        <f t="shared" ca="1" si="16"/>
        <v>0</v>
      </c>
      <c r="V492" s="229"/>
      <c r="W492" s="229"/>
      <c r="Y492" s="223" t="str">
        <f t="shared" si="17"/>
        <v/>
      </c>
    </row>
    <row r="493" spans="1:25" s="223" customFormat="1" ht="20.25">
      <c r="A493" s="291"/>
      <c r="B493" s="292" t="str">
        <f>IF(LEN(A493)=0,"",INDEX('Smelter Reference List'!$A:$A,MATCH($A493,'Smelter Reference List'!$E:$E,0)))</f>
        <v/>
      </c>
      <c r="C493" s="298" t="str">
        <f>IF(LEN(A493)=0,"",INDEX('Smelter Reference List'!$C:$C,MATCH($A493,'Smelter Reference List'!$E:$E,0)))</f>
        <v/>
      </c>
      <c r="D493" s="292" t="str">
        <f ca="1">IF(ISERROR($S493),"",OFFSET('Smelter Reference List'!$C$4,$S493-4,0)&amp;"")</f>
        <v/>
      </c>
      <c r="E493" s="292" t="str">
        <f ca="1">IF(ISERROR($S493),"",OFFSET('Smelter Reference List'!$D$4,$S493-4,0)&amp;"")</f>
        <v/>
      </c>
      <c r="F493" s="292" t="str">
        <f ca="1">IF(ISERROR($S493),"",OFFSET('Smelter Reference List'!$E$4,$S493-4,0))</f>
        <v/>
      </c>
      <c r="G493" s="292" t="str">
        <f ca="1">IF(C493=$U$4,"Enter smelter details", IF(ISERROR($S493),"",OFFSET('Smelter Reference List'!$F$4,$S493-4,0)))</f>
        <v/>
      </c>
      <c r="H493" s="293" t="str">
        <f ca="1">IF(ISERROR($S493),"",OFFSET('Smelter Reference List'!$G$4,$S493-4,0))</f>
        <v/>
      </c>
      <c r="I493" s="294" t="str">
        <f ca="1">IF(ISERROR($S493),"",OFFSET('Smelter Reference List'!$H$4,$S493-4,0))</f>
        <v/>
      </c>
      <c r="J493" s="294" t="str">
        <f ca="1">IF(ISERROR($S493),"",OFFSET('Smelter Reference List'!$I$4,$S493-4,0))</f>
        <v/>
      </c>
      <c r="K493" s="295"/>
      <c r="L493" s="295"/>
      <c r="M493" s="295"/>
      <c r="N493" s="295"/>
      <c r="O493" s="295"/>
      <c r="P493" s="295"/>
      <c r="Q493" s="296"/>
      <c r="R493" s="227"/>
      <c r="S493" s="228" t="e">
        <f>IF(C493="",NA(),MATCH($B493&amp;$C493,'Smelter Reference List'!$J:$J,0))</f>
        <v>#N/A</v>
      </c>
      <c r="T493" s="229"/>
      <c r="U493" s="229">
        <f t="shared" ca="1" si="16"/>
        <v>0</v>
      </c>
      <c r="V493" s="229"/>
      <c r="W493" s="229"/>
      <c r="Y493" s="223" t="str">
        <f t="shared" si="17"/>
        <v/>
      </c>
    </row>
    <row r="494" spans="1:25" s="223" customFormat="1" ht="20.25">
      <c r="A494" s="291"/>
      <c r="B494" s="292" t="str">
        <f>IF(LEN(A494)=0,"",INDEX('Smelter Reference List'!$A:$A,MATCH($A494,'Smelter Reference List'!$E:$E,0)))</f>
        <v/>
      </c>
      <c r="C494" s="298" t="str">
        <f>IF(LEN(A494)=0,"",INDEX('Smelter Reference List'!$C:$C,MATCH($A494,'Smelter Reference List'!$E:$E,0)))</f>
        <v/>
      </c>
      <c r="D494" s="292" t="str">
        <f ca="1">IF(ISERROR($S494),"",OFFSET('Smelter Reference List'!$C$4,$S494-4,0)&amp;"")</f>
        <v/>
      </c>
      <c r="E494" s="292" t="str">
        <f ca="1">IF(ISERROR($S494),"",OFFSET('Smelter Reference List'!$D$4,$S494-4,0)&amp;"")</f>
        <v/>
      </c>
      <c r="F494" s="292" t="str">
        <f ca="1">IF(ISERROR($S494),"",OFFSET('Smelter Reference List'!$E$4,$S494-4,0))</f>
        <v/>
      </c>
      <c r="G494" s="292" t="str">
        <f ca="1">IF(C494=$U$4,"Enter smelter details", IF(ISERROR($S494),"",OFFSET('Smelter Reference List'!$F$4,$S494-4,0)))</f>
        <v/>
      </c>
      <c r="H494" s="293" t="str">
        <f ca="1">IF(ISERROR($S494),"",OFFSET('Smelter Reference List'!$G$4,$S494-4,0))</f>
        <v/>
      </c>
      <c r="I494" s="294" t="str">
        <f ca="1">IF(ISERROR($S494),"",OFFSET('Smelter Reference List'!$H$4,$S494-4,0))</f>
        <v/>
      </c>
      <c r="J494" s="294" t="str">
        <f ca="1">IF(ISERROR($S494),"",OFFSET('Smelter Reference List'!$I$4,$S494-4,0))</f>
        <v/>
      </c>
      <c r="K494" s="295"/>
      <c r="L494" s="295"/>
      <c r="M494" s="295"/>
      <c r="N494" s="295"/>
      <c r="O494" s="295"/>
      <c r="P494" s="295"/>
      <c r="Q494" s="296"/>
      <c r="R494" s="227"/>
      <c r="S494" s="228" t="e">
        <f>IF(C494="",NA(),MATCH($B494&amp;$C494,'Smelter Reference List'!$J:$J,0))</f>
        <v>#N/A</v>
      </c>
      <c r="T494" s="229"/>
      <c r="U494" s="229">
        <f t="shared" ca="1" si="16"/>
        <v>0</v>
      </c>
      <c r="V494" s="229"/>
      <c r="W494" s="229"/>
      <c r="Y494" s="223" t="str">
        <f t="shared" si="17"/>
        <v/>
      </c>
    </row>
    <row r="495" spans="1:25" s="223" customFormat="1" ht="20.25">
      <c r="A495" s="291"/>
      <c r="B495" s="292" t="str">
        <f>IF(LEN(A495)=0,"",INDEX('Smelter Reference List'!$A:$A,MATCH($A495,'Smelter Reference List'!$E:$E,0)))</f>
        <v/>
      </c>
      <c r="C495" s="298" t="str">
        <f>IF(LEN(A495)=0,"",INDEX('Smelter Reference List'!$C:$C,MATCH($A495,'Smelter Reference List'!$E:$E,0)))</f>
        <v/>
      </c>
      <c r="D495" s="292" t="str">
        <f ca="1">IF(ISERROR($S495),"",OFFSET('Smelter Reference List'!$C$4,$S495-4,0)&amp;"")</f>
        <v/>
      </c>
      <c r="E495" s="292" t="str">
        <f ca="1">IF(ISERROR($S495),"",OFFSET('Smelter Reference List'!$D$4,$S495-4,0)&amp;"")</f>
        <v/>
      </c>
      <c r="F495" s="292" t="str">
        <f ca="1">IF(ISERROR($S495),"",OFFSET('Smelter Reference List'!$E$4,$S495-4,0))</f>
        <v/>
      </c>
      <c r="G495" s="292" t="str">
        <f ca="1">IF(C495=$U$4,"Enter smelter details", IF(ISERROR($S495),"",OFFSET('Smelter Reference List'!$F$4,$S495-4,0)))</f>
        <v/>
      </c>
      <c r="H495" s="293" t="str">
        <f ca="1">IF(ISERROR($S495),"",OFFSET('Smelter Reference List'!$G$4,$S495-4,0))</f>
        <v/>
      </c>
      <c r="I495" s="294" t="str">
        <f ca="1">IF(ISERROR($S495),"",OFFSET('Smelter Reference List'!$H$4,$S495-4,0))</f>
        <v/>
      </c>
      <c r="J495" s="294" t="str">
        <f ca="1">IF(ISERROR($S495),"",OFFSET('Smelter Reference List'!$I$4,$S495-4,0))</f>
        <v/>
      </c>
      <c r="K495" s="295"/>
      <c r="L495" s="295"/>
      <c r="M495" s="295"/>
      <c r="N495" s="295"/>
      <c r="O495" s="295"/>
      <c r="P495" s="295"/>
      <c r="Q495" s="296"/>
      <c r="R495" s="227"/>
      <c r="S495" s="228" t="e">
        <f>IF(C495="",NA(),MATCH($B495&amp;$C495,'Smelter Reference List'!$J:$J,0))</f>
        <v>#N/A</v>
      </c>
      <c r="T495" s="229"/>
      <c r="U495" s="229">
        <f t="shared" ca="1" si="16"/>
        <v>0</v>
      </c>
      <c r="V495" s="229"/>
      <c r="W495" s="229"/>
      <c r="Y495" s="223" t="str">
        <f t="shared" si="17"/>
        <v/>
      </c>
    </row>
    <row r="496" spans="1:25" s="223" customFormat="1" ht="20.25">
      <c r="A496" s="291"/>
      <c r="B496" s="292" t="str">
        <f>IF(LEN(A496)=0,"",INDEX('Smelter Reference List'!$A:$A,MATCH($A496,'Smelter Reference List'!$E:$E,0)))</f>
        <v/>
      </c>
      <c r="C496" s="298" t="str">
        <f>IF(LEN(A496)=0,"",INDEX('Smelter Reference List'!$C:$C,MATCH($A496,'Smelter Reference List'!$E:$E,0)))</f>
        <v/>
      </c>
      <c r="D496" s="292" t="str">
        <f ca="1">IF(ISERROR($S496),"",OFFSET('Smelter Reference List'!$C$4,$S496-4,0)&amp;"")</f>
        <v/>
      </c>
      <c r="E496" s="292" t="str">
        <f ca="1">IF(ISERROR($S496),"",OFFSET('Smelter Reference List'!$D$4,$S496-4,0)&amp;"")</f>
        <v/>
      </c>
      <c r="F496" s="292" t="str">
        <f ca="1">IF(ISERROR($S496),"",OFFSET('Smelter Reference List'!$E$4,$S496-4,0))</f>
        <v/>
      </c>
      <c r="G496" s="292" t="str">
        <f ca="1">IF(C496=$U$4,"Enter smelter details", IF(ISERROR($S496),"",OFFSET('Smelter Reference List'!$F$4,$S496-4,0)))</f>
        <v/>
      </c>
      <c r="H496" s="293" t="str">
        <f ca="1">IF(ISERROR($S496),"",OFFSET('Smelter Reference List'!$G$4,$S496-4,0))</f>
        <v/>
      </c>
      <c r="I496" s="294" t="str">
        <f ca="1">IF(ISERROR($S496),"",OFFSET('Smelter Reference List'!$H$4,$S496-4,0))</f>
        <v/>
      </c>
      <c r="J496" s="294" t="str">
        <f ca="1">IF(ISERROR($S496),"",OFFSET('Smelter Reference List'!$I$4,$S496-4,0))</f>
        <v/>
      </c>
      <c r="K496" s="295"/>
      <c r="L496" s="295"/>
      <c r="M496" s="295"/>
      <c r="N496" s="295"/>
      <c r="O496" s="295"/>
      <c r="P496" s="295"/>
      <c r="Q496" s="296"/>
      <c r="R496" s="227"/>
      <c r="S496" s="228" t="e">
        <f>IF(C496="",NA(),MATCH($B496&amp;$C496,'Smelter Reference List'!$J:$J,0))</f>
        <v>#N/A</v>
      </c>
      <c r="T496" s="229"/>
      <c r="U496" s="229">
        <f t="shared" ca="1" si="16"/>
        <v>0</v>
      </c>
      <c r="V496" s="229"/>
      <c r="W496" s="229"/>
      <c r="Y496" s="223" t="str">
        <f t="shared" si="17"/>
        <v/>
      </c>
    </row>
    <row r="497" spans="1:25" s="223" customFormat="1" ht="20.25">
      <c r="A497" s="291"/>
      <c r="B497" s="292" t="str">
        <f>IF(LEN(A497)=0,"",INDEX('Smelter Reference List'!$A:$A,MATCH($A497,'Smelter Reference List'!$E:$E,0)))</f>
        <v/>
      </c>
      <c r="C497" s="298" t="str">
        <f>IF(LEN(A497)=0,"",INDEX('Smelter Reference List'!$C:$C,MATCH($A497,'Smelter Reference List'!$E:$E,0)))</f>
        <v/>
      </c>
      <c r="D497" s="292" t="str">
        <f ca="1">IF(ISERROR($S497),"",OFFSET('Smelter Reference List'!$C$4,$S497-4,0)&amp;"")</f>
        <v/>
      </c>
      <c r="E497" s="292" t="str">
        <f ca="1">IF(ISERROR($S497),"",OFFSET('Smelter Reference List'!$D$4,$S497-4,0)&amp;"")</f>
        <v/>
      </c>
      <c r="F497" s="292" t="str">
        <f ca="1">IF(ISERROR($S497),"",OFFSET('Smelter Reference List'!$E$4,$S497-4,0))</f>
        <v/>
      </c>
      <c r="G497" s="292" t="str">
        <f ca="1">IF(C497=$U$4,"Enter smelter details", IF(ISERROR($S497),"",OFFSET('Smelter Reference List'!$F$4,$S497-4,0)))</f>
        <v/>
      </c>
      <c r="H497" s="293" t="str">
        <f ca="1">IF(ISERROR($S497),"",OFFSET('Smelter Reference List'!$G$4,$S497-4,0))</f>
        <v/>
      </c>
      <c r="I497" s="294" t="str">
        <f ca="1">IF(ISERROR($S497),"",OFFSET('Smelter Reference List'!$H$4,$S497-4,0))</f>
        <v/>
      </c>
      <c r="J497" s="294" t="str">
        <f ca="1">IF(ISERROR($S497),"",OFFSET('Smelter Reference List'!$I$4,$S497-4,0))</f>
        <v/>
      </c>
      <c r="K497" s="295"/>
      <c r="L497" s="295"/>
      <c r="M497" s="295"/>
      <c r="N497" s="295"/>
      <c r="O497" s="295"/>
      <c r="P497" s="295"/>
      <c r="Q497" s="296"/>
      <c r="R497" s="227"/>
      <c r="S497" s="228" t="e">
        <f>IF(C497="",NA(),MATCH($B497&amp;$C497,'Smelter Reference List'!$J:$J,0))</f>
        <v>#N/A</v>
      </c>
      <c r="T497" s="229"/>
      <c r="U497" s="229">
        <f t="shared" ca="1" si="16"/>
        <v>0</v>
      </c>
      <c r="V497" s="229"/>
      <c r="W497" s="229"/>
      <c r="Y497" s="223" t="str">
        <f t="shared" si="17"/>
        <v/>
      </c>
    </row>
    <row r="498" spans="1:25" s="223" customFormat="1" ht="20.25">
      <c r="A498" s="291"/>
      <c r="B498" s="292" t="str">
        <f>IF(LEN(A498)=0,"",INDEX('Smelter Reference List'!$A:$A,MATCH($A498,'Smelter Reference List'!$E:$E,0)))</f>
        <v/>
      </c>
      <c r="C498" s="298" t="str">
        <f>IF(LEN(A498)=0,"",INDEX('Smelter Reference List'!$C:$C,MATCH($A498,'Smelter Reference List'!$E:$E,0)))</f>
        <v/>
      </c>
      <c r="D498" s="292" t="str">
        <f ca="1">IF(ISERROR($S498),"",OFFSET('Smelter Reference List'!$C$4,$S498-4,0)&amp;"")</f>
        <v/>
      </c>
      <c r="E498" s="292" t="str">
        <f ca="1">IF(ISERROR($S498),"",OFFSET('Smelter Reference List'!$D$4,$S498-4,0)&amp;"")</f>
        <v/>
      </c>
      <c r="F498" s="292" t="str">
        <f ca="1">IF(ISERROR($S498),"",OFFSET('Smelter Reference List'!$E$4,$S498-4,0))</f>
        <v/>
      </c>
      <c r="G498" s="292" t="str">
        <f ca="1">IF(C498=$U$4,"Enter smelter details", IF(ISERROR($S498),"",OFFSET('Smelter Reference List'!$F$4,$S498-4,0)))</f>
        <v/>
      </c>
      <c r="H498" s="293" t="str">
        <f ca="1">IF(ISERROR($S498),"",OFFSET('Smelter Reference List'!$G$4,$S498-4,0))</f>
        <v/>
      </c>
      <c r="I498" s="294" t="str">
        <f ca="1">IF(ISERROR($S498),"",OFFSET('Smelter Reference List'!$H$4,$S498-4,0))</f>
        <v/>
      </c>
      <c r="J498" s="294" t="str">
        <f ca="1">IF(ISERROR($S498),"",OFFSET('Smelter Reference List'!$I$4,$S498-4,0))</f>
        <v/>
      </c>
      <c r="K498" s="295"/>
      <c r="L498" s="295"/>
      <c r="M498" s="295"/>
      <c r="N498" s="295"/>
      <c r="O498" s="295"/>
      <c r="P498" s="295"/>
      <c r="Q498" s="296"/>
      <c r="R498" s="227"/>
      <c r="S498" s="228" t="e">
        <f>IF(C498="",NA(),MATCH($B498&amp;$C498,'Smelter Reference List'!$J:$J,0))</f>
        <v>#N/A</v>
      </c>
      <c r="T498" s="229"/>
      <c r="U498" s="229">
        <f t="shared" ca="1" si="16"/>
        <v>0</v>
      </c>
      <c r="V498" s="229"/>
      <c r="W498" s="229"/>
      <c r="Y498" s="223" t="str">
        <f t="shared" si="17"/>
        <v/>
      </c>
    </row>
    <row r="499" spans="1:25" s="223" customFormat="1" ht="20.25">
      <c r="A499" s="291"/>
      <c r="B499" s="292" t="str">
        <f>IF(LEN(A499)=0,"",INDEX('Smelter Reference List'!$A:$A,MATCH($A499,'Smelter Reference List'!$E:$E,0)))</f>
        <v/>
      </c>
      <c r="C499" s="298" t="str">
        <f>IF(LEN(A499)=0,"",INDEX('Smelter Reference List'!$C:$C,MATCH($A499,'Smelter Reference List'!$E:$E,0)))</f>
        <v/>
      </c>
      <c r="D499" s="292" t="str">
        <f ca="1">IF(ISERROR($S499),"",OFFSET('Smelter Reference List'!$C$4,$S499-4,0)&amp;"")</f>
        <v/>
      </c>
      <c r="E499" s="292" t="str">
        <f ca="1">IF(ISERROR($S499),"",OFFSET('Smelter Reference List'!$D$4,$S499-4,0)&amp;"")</f>
        <v/>
      </c>
      <c r="F499" s="292" t="str">
        <f ca="1">IF(ISERROR($S499),"",OFFSET('Smelter Reference List'!$E$4,$S499-4,0))</f>
        <v/>
      </c>
      <c r="G499" s="292" t="str">
        <f ca="1">IF(C499=$U$4,"Enter smelter details", IF(ISERROR($S499),"",OFFSET('Smelter Reference List'!$F$4,$S499-4,0)))</f>
        <v/>
      </c>
      <c r="H499" s="293" t="str">
        <f ca="1">IF(ISERROR($S499),"",OFFSET('Smelter Reference List'!$G$4,$S499-4,0))</f>
        <v/>
      </c>
      <c r="I499" s="294" t="str">
        <f ca="1">IF(ISERROR($S499),"",OFFSET('Smelter Reference List'!$H$4,$S499-4,0))</f>
        <v/>
      </c>
      <c r="J499" s="294" t="str">
        <f ca="1">IF(ISERROR($S499),"",OFFSET('Smelter Reference List'!$I$4,$S499-4,0))</f>
        <v/>
      </c>
      <c r="K499" s="295"/>
      <c r="L499" s="295"/>
      <c r="M499" s="295"/>
      <c r="N499" s="295"/>
      <c r="O499" s="295"/>
      <c r="P499" s="295"/>
      <c r="Q499" s="296"/>
      <c r="R499" s="227"/>
      <c r="S499" s="228" t="e">
        <f>IF(C499="",NA(),MATCH($B499&amp;$C499,'Smelter Reference List'!$J:$J,0))</f>
        <v>#N/A</v>
      </c>
      <c r="T499" s="229"/>
      <c r="U499" s="229">
        <f t="shared" ca="1" si="16"/>
        <v>0</v>
      </c>
      <c r="V499" s="229"/>
      <c r="W499" s="229"/>
      <c r="Y499" s="223" t="str">
        <f t="shared" si="17"/>
        <v/>
      </c>
    </row>
    <row r="500" spans="1:25" s="223" customFormat="1" ht="20.25">
      <c r="A500" s="291"/>
      <c r="B500" s="292" t="str">
        <f>IF(LEN(A500)=0,"",INDEX('Smelter Reference List'!$A:$A,MATCH($A500,'Smelter Reference List'!$E:$E,0)))</f>
        <v/>
      </c>
      <c r="C500" s="298" t="str">
        <f>IF(LEN(A500)=0,"",INDEX('Smelter Reference List'!$C:$C,MATCH($A500,'Smelter Reference List'!$E:$E,0)))</f>
        <v/>
      </c>
      <c r="D500" s="292" t="str">
        <f ca="1">IF(ISERROR($S500),"",OFFSET('Smelter Reference List'!$C$4,$S500-4,0)&amp;"")</f>
        <v/>
      </c>
      <c r="E500" s="292" t="str">
        <f ca="1">IF(ISERROR($S500),"",OFFSET('Smelter Reference List'!$D$4,$S500-4,0)&amp;"")</f>
        <v/>
      </c>
      <c r="F500" s="292" t="str">
        <f ca="1">IF(ISERROR($S500),"",OFFSET('Smelter Reference List'!$E$4,$S500-4,0))</f>
        <v/>
      </c>
      <c r="G500" s="292" t="str">
        <f ca="1">IF(C500=$U$4,"Enter smelter details", IF(ISERROR($S500),"",OFFSET('Smelter Reference List'!$F$4,$S500-4,0)))</f>
        <v/>
      </c>
      <c r="H500" s="293" t="str">
        <f ca="1">IF(ISERROR($S500),"",OFFSET('Smelter Reference List'!$G$4,$S500-4,0))</f>
        <v/>
      </c>
      <c r="I500" s="294" t="str">
        <f ca="1">IF(ISERROR($S500),"",OFFSET('Smelter Reference List'!$H$4,$S500-4,0))</f>
        <v/>
      </c>
      <c r="J500" s="294" t="str">
        <f ca="1">IF(ISERROR($S500),"",OFFSET('Smelter Reference List'!$I$4,$S500-4,0))</f>
        <v/>
      </c>
      <c r="K500" s="295"/>
      <c r="L500" s="295"/>
      <c r="M500" s="295"/>
      <c r="N500" s="295"/>
      <c r="O500" s="295"/>
      <c r="P500" s="295"/>
      <c r="Q500" s="296"/>
      <c r="R500" s="227"/>
      <c r="S500" s="228" t="e">
        <f>IF(C500="",NA(),MATCH($B500&amp;$C500,'Smelter Reference List'!$J:$J,0))</f>
        <v>#N/A</v>
      </c>
      <c r="T500" s="229"/>
      <c r="U500" s="229">
        <f t="shared" ca="1" si="16"/>
        <v>0</v>
      </c>
      <c r="V500" s="229"/>
      <c r="W500" s="229"/>
      <c r="Y500" s="223" t="str">
        <f t="shared" si="17"/>
        <v/>
      </c>
    </row>
    <row r="501" spans="1:25" s="223" customFormat="1" ht="20.25">
      <c r="A501" s="291"/>
      <c r="B501" s="292" t="str">
        <f>IF(LEN(A501)=0,"",INDEX('Smelter Reference List'!$A:$A,MATCH($A501,'Smelter Reference List'!$E:$E,0)))</f>
        <v/>
      </c>
      <c r="C501" s="298" t="str">
        <f>IF(LEN(A501)=0,"",INDEX('Smelter Reference List'!$C:$C,MATCH($A501,'Smelter Reference List'!$E:$E,0)))</f>
        <v/>
      </c>
      <c r="D501" s="292" t="str">
        <f ca="1">IF(ISERROR($S501),"",OFFSET('Smelter Reference List'!$C$4,$S501-4,0)&amp;"")</f>
        <v/>
      </c>
      <c r="E501" s="292" t="str">
        <f ca="1">IF(ISERROR($S501),"",OFFSET('Smelter Reference List'!$D$4,$S501-4,0)&amp;"")</f>
        <v/>
      </c>
      <c r="F501" s="292" t="str">
        <f ca="1">IF(ISERROR($S501),"",OFFSET('Smelter Reference List'!$E$4,$S501-4,0))</f>
        <v/>
      </c>
      <c r="G501" s="292" t="str">
        <f ca="1">IF(C501=$U$4,"Enter smelter details", IF(ISERROR($S501),"",OFFSET('Smelter Reference List'!$F$4,$S501-4,0)))</f>
        <v/>
      </c>
      <c r="H501" s="293" t="str">
        <f ca="1">IF(ISERROR($S501),"",OFFSET('Smelter Reference List'!$G$4,$S501-4,0))</f>
        <v/>
      </c>
      <c r="I501" s="294" t="str">
        <f ca="1">IF(ISERROR($S501),"",OFFSET('Smelter Reference List'!$H$4,$S501-4,0))</f>
        <v/>
      </c>
      <c r="J501" s="294" t="str">
        <f ca="1">IF(ISERROR($S501),"",OFFSET('Smelter Reference List'!$I$4,$S501-4,0))</f>
        <v/>
      </c>
      <c r="K501" s="295"/>
      <c r="L501" s="295"/>
      <c r="M501" s="295"/>
      <c r="N501" s="295"/>
      <c r="O501" s="295"/>
      <c r="P501" s="295"/>
      <c r="Q501" s="296"/>
      <c r="R501" s="227"/>
      <c r="S501" s="228" t="e">
        <f>IF(C501="",NA(),MATCH($B501&amp;$C501,'Smelter Reference List'!$J:$J,0))</f>
        <v>#N/A</v>
      </c>
      <c r="T501" s="229"/>
      <c r="U501" s="229">
        <f t="shared" ca="1" si="16"/>
        <v>0</v>
      </c>
      <c r="V501" s="229"/>
      <c r="W501" s="229"/>
      <c r="Y501" s="223" t="str">
        <f t="shared" si="17"/>
        <v/>
      </c>
    </row>
    <row r="502" spans="1:25" s="223" customFormat="1" ht="20.25">
      <c r="A502" s="291"/>
      <c r="B502" s="292" t="str">
        <f>IF(LEN(A502)=0,"",INDEX('Smelter Reference List'!$A:$A,MATCH($A502,'Smelter Reference List'!$E:$E,0)))</f>
        <v/>
      </c>
      <c r="C502" s="298" t="str">
        <f>IF(LEN(A502)=0,"",INDEX('Smelter Reference List'!$C:$C,MATCH($A502,'Smelter Reference List'!$E:$E,0)))</f>
        <v/>
      </c>
      <c r="D502" s="292" t="str">
        <f ca="1">IF(ISERROR($S502),"",OFFSET('Smelter Reference List'!$C$4,$S502-4,0)&amp;"")</f>
        <v/>
      </c>
      <c r="E502" s="292" t="str">
        <f ca="1">IF(ISERROR($S502),"",OFFSET('Smelter Reference List'!$D$4,$S502-4,0)&amp;"")</f>
        <v/>
      </c>
      <c r="F502" s="292" t="str">
        <f ca="1">IF(ISERROR($S502),"",OFFSET('Smelter Reference List'!$E$4,$S502-4,0))</f>
        <v/>
      </c>
      <c r="G502" s="292" t="str">
        <f ca="1">IF(C502=$U$4,"Enter smelter details", IF(ISERROR($S502),"",OFFSET('Smelter Reference List'!$F$4,$S502-4,0)))</f>
        <v/>
      </c>
      <c r="H502" s="293" t="str">
        <f ca="1">IF(ISERROR($S502),"",OFFSET('Smelter Reference List'!$G$4,$S502-4,0))</f>
        <v/>
      </c>
      <c r="I502" s="294" t="str">
        <f ca="1">IF(ISERROR($S502),"",OFFSET('Smelter Reference List'!$H$4,$S502-4,0))</f>
        <v/>
      </c>
      <c r="J502" s="294" t="str">
        <f ca="1">IF(ISERROR($S502),"",OFFSET('Smelter Reference List'!$I$4,$S502-4,0))</f>
        <v/>
      </c>
      <c r="K502" s="295"/>
      <c r="L502" s="295"/>
      <c r="M502" s="295"/>
      <c r="N502" s="295"/>
      <c r="O502" s="295"/>
      <c r="P502" s="295"/>
      <c r="Q502" s="296"/>
      <c r="R502" s="227"/>
      <c r="S502" s="228" t="e">
        <f>IF(C502="",NA(),MATCH($B502&amp;$C502,'Smelter Reference List'!$J:$J,0))</f>
        <v>#N/A</v>
      </c>
      <c r="T502" s="229"/>
      <c r="U502" s="229">
        <f t="shared" ca="1" si="16"/>
        <v>0</v>
      </c>
      <c r="V502" s="229"/>
      <c r="W502" s="229"/>
      <c r="Y502" s="223" t="str">
        <f t="shared" si="17"/>
        <v/>
      </c>
    </row>
    <row r="503" spans="1:25" s="223" customFormat="1" ht="20.25">
      <c r="A503" s="291"/>
      <c r="B503" s="292" t="str">
        <f>IF(LEN(A503)=0,"",INDEX('Smelter Reference List'!$A:$A,MATCH($A503,'Smelter Reference List'!$E:$E,0)))</f>
        <v/>
      </c>
      <c r="C503" s="298" t="str">
        <f>IF(LEN(A503)=0,"",INDEX('Smelter Reference List'!$C:$C,MATCH($A503,'Smelter Reference List'!$E:$E,0)))</f>
        <v/>
      </c>
      <c r="D503" s="292" t="str">
        <f ca="1">IF(ISERROR($S503),"",OFFSET('Smelter Reference List'!$C$4,$S503-4,0)&amp;"")</f>
        <v/>
      </c>
      <c r="E503" s="292" t="str">
        <f ca="1">IF(ISERROR($S503),"",OFFSET('Smelter Reference List'!$D$4,$S503-4,0)&amp;"")</f>
        <v/>
      </c>
      <c r="F503" s="292" t="str">
        <f ca="1">IF(ISERROR($S503),"",OFFSET('Smelter Reference List'!$E$4,$S503-4,0))</f>
        <v/>
      </c>
      <c r="G503" s="292" t="str">
        <f ca="1">IF(C503=$U$4,"Enter smelter details", IF(ISERROR($S503),"",OFFSET('Smelter Reference List'!$F$4,$S503-4,0)))</f>
        <v/>
      </c>
      <c r="H503" s="293" t="str">
        <f ca="1">IF(ISERROR($S503),"",OFFSET('Smelter Reference List'!$G$4,$S503-4,0))</f>
        <v/>
      </c>
      <c r="I503" s="294" t="str">
        <f ca="1">IF(ISERROR($S503),"",OFFSET('Smelter Reference List'!$H$4,$S503-4,0))</f>
        <v/>
      </c>
      <c r="J503" s="294" t="str">
        <f ca="1">IF(ISERROR($S503),"",OFFSET('Smelter Reference List'!$I$4,$S503-4,0))</f>
        <v/>
      </c>
      <c r="K503" s="295"/>
      <c r="L503" s="295"/>
      <c r="M503" s="295"/>
      <c r="N503" s="295"/>
      <c r="O503" s="295"/>
      <c r="P503" s="295"/>
      <c r="Q503" s="296"/>
      <c r="R503" s="227"/>
      <c r="S503" s="228" t="e">
        <f>IF(C503="",NA(),MATCH($B503&amp;$C503,'Smelter Reference List'!$J:$J,0))</f>
        <v>#N/A</v>
      </c>
      <c r="T503" s="229"/>
      <c r="U503" s="229">
        <f t="shared" ca="1" si="16"/>
        <v>0</v>
      </c>
      <c r="V503" s="229"/>
      <c r="W503" s="229"/>
      <c r="Y503" s="223" t="str">
        <f t="shared" si="17"/>
        <v/>
      </c>
    </row>
    <row r="504" spans="1:25" s="223" customFormat="1" ht="20.25">
      <c r="A504" s="291"/>
      <c r="B504" s="292" t="str">
        <f>IF(LEN(A504)=0,"",INDEX('Smelter Reference List'!$A:$A,MATCH($A504,'Smelter Reference List'!$E:$E,0)))</f>
        <v/>
      </c>
      <c r="C504" s="298" t="str">
        <f>IF(LEN(A504)=0,"",INDEX('Smelter Reference List'!$C:$C,MATCH($A504,'Smelter Reference List'!$E:$E,0)))</f>
        <v/>
      </c>
      <c r="D504" s="292" t="str">
        <f ca="1">IF(ISERROR($S504),"",OFFSET('Smelter Reference List'!$C$4,$S504-4,0)&amp;"")</f>
        <v/>
      </c>
      <c r="E504" s="292" t="str">
        <f ca="1">IF(ISERROR($S504),"",OFFSET('Smelter Reference List'!$D$4,$S504-4,0)&amp;"")</f>
        <v/>
      </c>
      <c r="F504" s="292" t="str">
        <f ca="1">IF(ISERROR($S504),"",OFFSET('Smelter Reference List'!$E$4,$S504-4,0))</f>
        <v/>
      </c>
      <c r="G504" s="292" t="str">
        <f ca="1">IF(C504=$U$4,"Enter smelter details", IF(ISERROR($S504),"",OFFSET('Smelter Reference List'!$F$4,$S504-4,0)))</f>
        <v/>
      </c>
      <c r="H504" s="293" t="str">
        <f ca="1">IF(ISERROR($S504),"",OFFSET('Smelter Reference List'!$G$4,$S504-4,0))</f>
        <v/>
      </c>
      <c r="I504" s="294" t="str">
        <f ca="1">IF(ISERROR($S504),"",OFFSET('Smelter Reference List'!$H$4,$S504-4,0))</f>
        <v/>
      </c>
      <c r="J504" s="294" t="str">
        <f ca="1">IF(ISERROR($S504),"",OFFSET('Smelter Reference List'!$I$4,$S504-4,0))</f>
        <v/>
      </c>
      <c r="K504" s="295"/>
      <c r="L504" s="295"/>
      <c r="M504" s="295"/>
      <c r="N504" s="295"/>
      <c r="O504" s="295"/>
      <c r="P504" s="295"/>
      <c r="Q504" s="296"/>
      <c r="R504" s="227"/>
      <c r="S504" s="228" t="e">
        <f>IF(C504="",NA(),MATCH($B504&amp;$C504,'Smelter Reference List'!$J:$J,0))</f>
        <v>#N/A</v>
      </c>
      <c r="T504" s="229"/>
      <c r="U504" s="229">
        <f t="shared" ca="1" si="16"/>
        <v>0</v>
      </c>
      <c r="V504" s="229"/>
      <c r="W504" s="229"/>
      <c r="Y504" s="223" t="str">
        <f t="shared" si="17"/>
        <v/>
      </c>
    </row>
    <row r="505" spans="1:25" s="223" customFormat="1" ht="20.25">
      <c r="A505" s="291"/>
      <c r="B505" s="292" t="str">
        <f>IF(LEN(A505)=0,"",INDEX('Smelter Reference List'!$A:$A,MATCH($A505,'Smelter Reference List'!$E:$E,0)))</f>
        <v/>
      </c>
      <c r="C505" s="298" t="str">
        <f>IF(LEN(A505)=0,"",INDEX('Smelter Reference List'!$C:$C,MATCH($A505,'Smelter Reference List'!$E:$E,0)))</f>
        <v/>
      </c>
      <c r="D505" s="292" t="str">
        <f ca="1">IF(ISERROR($S505),"",OFFSET('Smelter Reference List'!$C$4,$S505-4,0)&amp;"")</f>
        <v/>
      </c>
      <c r="E505" s="292" t="str">
        <f ca="1">IF(ISERROR($S505),"",OFFSET('Smelter Reference List'!$D$4,$S505-4,0)&amp;"")</f>
        <v/>
      </c>
      <c r="F505" s="292" t="str">
        <f ca="1">IF(ISERROR($S505),"",OFFSET('Smelter Reference List'!$E$4,$S505-4,0))</f>
        <v/>
      </c>
      <c r="G505" s="292" t="str">
        <f ca="1">IF(C505=$U$4,"Enter smelter details", IF(ISERROR($S505),"",OFFSET('Smelter Reference List'!$F$4,$S505-4,0)))</f>
        <v/>
      </c>
      <c r="H505" s="293" t="str">
        <f ca="1">IF(ISERROR($S505),"",OFFSET('Smelter Reference List'!$G$4,$S505-4,0))</f>
        <v/>
      </c>
      <c r="I505" s="294" t="str">
        <f ca="1">IF(ISERROR($S505),"",OFFSET('Smelter Reference List'!$H$4,$S505-4,0))</f>
        <v/>
      </c>
      <c r="J505" s="294" t="str">
        <f ca="1">IF(ISERROR($S505),"",OFFSET('Smelter Reference List'!$I$4,$S505-4,0))</f>
        <v/>
      </c>
      <c r="K505" s="295"/>
      <c r="L505" s="295"/>
      <c r="M505" s="295"/>
      <c r="N505" s="295"/>
      <c r="O505" s="295"/>
      <c r="P505" s="295"/>
      <c r="Q505" s="296"/>
      <c r="R505" s="227"/>
      <c r="S505" s="228" t="e">
        <f>IF(C505="",NA(),MATCH($B505&amp;$C505,'Smelter Reference List'!$J:$J,0))</f>
        <v>#N/A</v>
      </c>
      <c r="T505" s="229"/>
      <c r="U505" s="229">
        <f t="shared" ca="1" si="16"/>
        <v>0</v>
      </c>
      <c r="V505" s="229"/>
      <c r="W505" s="229"/>
      <c r="Y505" s="223" t="str">
        <f t="shared" si="17"/>
        <v/>
      </c>
    </row>
    <row r="506" spans="1:25" s="223" customFormat="1" ht="20.25">
      <c r="A506" s="291"/>
      <c r="B506" s="292" t="str">
        <f>IF(LEN(A506)=0,"",INDEX('Smelter Reference List'!$A:$A,MATCH($A506,'Smelter Reference List'!$E:$E,0)))</f>
        <v/>
      </c>
      <c r="C506" s="298" t="str">
        <f>IF(LEN(A506)=0,"",INDEX('Smelter Reference List'!$C:$C,MATCH($A506,'Smelter Reference List'!$E:$E,0)))</f>
        <v/>
      </c>
      <c r="D506" s="292" t="str">
        <f ca="1">IF(ISERROR($S506),"",OFFSET('Smelter Reference List'!$C$4,$S506-4,0)&amp;"")</f>
        <v/>
      </c>
      <c r="E506" s="292" t="str">
        <f ca="1">IF(ISERROR($S506),"",OFFSET('Smelter Reference List'!$D$4,$S506-4,0)&amp;"")</f>
        <v/>
      </c>
      <c r="F506" s="292" t="str">
        <f ca="1">IF(ISERROR($S506),"",OFFSET('Smelter Reference List'!$E$4,$S506-4,0))</f>
        <v/>
      </c>
      <c r="G506" s="292" t="str">
        <f ca="1">IF(C506=$U$4,"Enter smelter details", IF(ISERROR($S506),"",OFFSET('Smelter Reference List'!$F$4,$S506-4,0)))</f>
        <v/>
      </c>
      <c r="H506" s="293" t="str">
        <f ca="1">IF(ISERROR($S506),"",OFFSET('Smelter Reference List'!$G$4,$S506-4,0))</f>
        <v/>
      </c>
      <c r="I506" s="294" t="str">
        <f ca="1">IF(ISERROR($S506),"",OFFSET('Smelter Reference List'!$H$4,$S506-4,0))</f>
        <v/>
      </c>
      <c r="J506" s="294" t="str">
        <f ca="1">IF(ISERROR($S506),"",OFFSET('Smelter Reference List'!$I$4,$S506-4,0))</f>
        <v/>
      </c>
      <c r="K506" s="295"/>
      <c r="L506" s="295"/>
      <c r="M506" s="295"/>
      <c r="N506" s="295"/>
      <c r="O506" s="295"/>
      <c r="P506" s="295"/>
      <c r="Q506" s="296"/>
      <c r="R506" s="227"/>
      <c r="S506" s="228" t="e">
        <f>IF(C506="",NA(),MATCH($B506&amp;$C506,'Smelter Reference List'!$J:$J,0))</f>
        <v>#N/A</v>
      </c>
      <c r="T506" s="229"/>
      <c r="U506" s="229">
        <f t="shared" ca="1" si="16"/>
        <v>0</v>
      </c>
      <c r="V506" s="229"/>
      <c r="W506" s="229"/>
      <c r="Y506" s="223" t="str">
        <f t="shared" si="17"/>
        <v/>
      </c>
    </row>
    <row r="507" spans="1:25" s="223" customFormat="1" ht="20.25">
      <c r="A507" s="291"/>
      <c r="B507" s="292" t="str">
        <f>IF(LEN(A507)=0,"",INDEX('Smelter Reference List'!$A:$A,MATCH($A507,'Smelter Reference List'!$E:$E,0)))</f>
        <v/>
      </c>
      <c r="C507" s="298" t="str">
        <f>IF(LEN(A507)=0,"",INDEX('Smelter Reference List'!$C:$C,MATCH($A507,'Smelter Reference List'!$E:$E,0)))</f>
        <v/>
      </c>
      <c r="D507" s="292" t="str">
        <f ca="1">IF(ISERROR($S507),"",OFFSET('Smelter Reference List'!$C$4,$S507-4,0)&amp;"")</f>
        <v/>
      </c>
      <c r="E507" s="292" t="str">
        <f ca="1">IF(ISERROR($S507),"",OFFSET('Smelter Reference List'!$D$4,$S507-4,0)&amp;"")</f>
        <v/>
      </c>
      <c r="F507" s="292" t="str">
        <f ca="1">IF(ISERROR($S507),"",OFFSET('Smelter Reference List'!$E$4,$S507-4,0))</f>
        <v/>
      </c>
      <c r="G507" s="292" t="str">
        <f ca="1">IF(C507=$U$4,"Enter smelter details", IF(ISERROR($S507),"",OFFSET('Smelter Reference List'!$F$4,$S507-4,0)))</f>
        <v/>
      </c>
      <c r="H507" s="293" t="str">
        <f ca="1">IF(ISERROR($S507),"",OFFSET('Smelter Reference List'!$G$4,$S507-4,0))</f>
        <v/>
      </c>
      <c r="I507" s="294" t="str">
        <f ca="1">IF(ISERROR($S507),"",OFFSET('Smelter Reference List'!$H$4,$S507-4,0))</f>
        <v/>
      </c>
      <c r="J507" s="294" t="str">
        <f ca="1">IF(ISERROR($S507),"",OFFSET('Smelter Reference List'!$I$4,$S507-4,0))</f>
        <v/>
      </c>
      <c r="K507" s="295"/>
      <c r="L507" s="295"/>
      <c r="M507" s="295"/>
      <c r="N507" s="295"/>
      <c r="O507" s="295"/>
      <c r="P507" s="295"/>
      <c r="Q507" s="296"/>
      <c r="R507" s="227"/>
      <c r="S507" s="228" t="e">
        <f>IF(C507="",NA(),MATCH($B507&amp;$C507,'Smelter Reference List'!$J:$J,0))</f>
        <v>#N/A</v>
      </c>
      <c r="T507" s="229"/>
      <c r="U507" s="229">
        <f t="shared" ca="1" si="16"/>
        <v>0</v>
      </c>
      <c r="V507" s="229"/>
      <c r="W507" s="229"/>
      <c r="Y507" s="223" t="str">
        <f t="shared" si="17"/>
        <v/>
      </c>
    </row>
    <row r="508" spans="1:25" s="223" customFormat="1" ht="20.25">
      <c r="A508" s="291"/>
      <c r="B508" s="292" t="str">
        <f>IF(LEN(A508)=0,"",INDEX('Smelter Reference List'!$A:$A,MATCH($A508,'Smelter Reference List'!$E:$E,0)))</f>
        <v/>
      </c>
      <c r="C508" s="298" t="str">
        <f>IF(LEN(A508)=0,"",INDEX('Smelter Reference List'!$C:$C,MATCH($A508,'Smelter Reference List'!$E:$E,0)))</f>
        <v/>
      </c>
      <c r="D508" s="292" t="str">
        <f ca="1">IF(ISERROR($S508),"",OFFSET('Smelter Reference List'!$C$4,$S508-4,0)&amp;"")</f>
        <v/>
      </c>
      <c r="E508" s="292" t="str">
        <f ca="1">IF(ISERROR($S508),"",OFFSET('Smelter Reference List'!$D$4,$S508-4,0)&amp;"")</f>
        <v/>
      </c>
      <c r="F508" s="292" t="str">
        <f ca="1">IF(ISERROR($S508),"",OFFSET('Smelter Reference List'!$E$4,$S508-4,0))</f>
        <v/>
      </c>
      <c r="G508" s="292" t="str">
        <f ca="1">IF(C508=$U$4,"Enter smelter details", IF(ISERROR($S508),"",OFFSET('Smelter Reference List'!$F$4,$S508-4,0)))</f>
        <v/>
      </c>
      <c r="H508" s="293" t="str">
        <f ca="1">IF(ISERROR($S508),"",OFFSET('Smelter Reference List'!$G$4,$S508-4,0))</f>
        <v/>
      </c>
      <c r="I508" s="294" t="str">
        <f ca="1">IF(ISERROR($S508),"",OFFSET('Smelter Reference List'!$H$4,$S508-4,0))</f>
        <v/>
      </c>
      <c r="J508" s="294" t="str">
        <f ca="1">IF(ISERROR($S508),"",OFFSET('Smelter Reference List'!$I$4,$S508-4,0))</f>
        <v/>
      </c>
      <c r="K508" s="295"/>
      <c r="L508" s="295"/>
      <c r="M508" s="295"/>
      <c r="N508" s="295"/>
      <c r="O508" s="295"/>
      <c r="P508" s="295"/>
      <c r="Q508" s="296"/>
      <c r="R508" s="227"/>
      <c r="S508" s="228" t="e">
        <f>IF(C508="",NA(),MATCH($B508&amp;$C508,'Smelter Reference List'!$J:$J,0))</f>
        <v>#N/A</v>
      </c>
      <c r="T508" s="229"/>
      <c r="U508" s="229">
        <f t="shared" ca="1" si="16"/>
        <v>0</v>
      </c>
      <c r="V508" s="229"/>
      <c r="W508" s="229"/>
      <c r="Y508" s="223" t="str">
        <f t="shared" si="17"/>
        <v/>
      </c>
    </row>
    <row r="509" spans="1:25" s="223" customFormat="1" ht="20.25">
      <c r="A509" s="291"/>
      <c r="B509" s="292" t="str">
        <f>IF(LEN(A509)=0,"",INDEX('Smelter Reference List'!$A:$A,MATCH($A509,'Smelter Reference List'!$E:$E,0)))</f>
        <v/>
      </c>
      <c r="C509" s="298" t="str">
        <f>IF(LEN(A509)=0,"",INDEX('Smelter Reference List'!$C:$C,MATCH($A509,'Smelter Reference List'!$E:$E,0)))</f>
        <v/>
      </c>
      <c r="D509" s="292" t="str">
        <f ca="1">IF(ISERROR($S509),"",OFFSET('Smelter Reference List'!$C$4,$S509-4,0)&amp;"")</f>
        <v/>
      </c>
      <c r="E509" s="292" t="str">
        <f ca="1">IF(ISERROR($S509),"",OFFSET('Smelter Reference List'!$D$4,$S509-4,0)&amp;"")</f>
        <v/>
      </c>
      <c r="F509" s="292" t="str">
        <f ca="1">IF(ISERROR($S509),"",OFFSET('Smelter Reference List'!$E$4,$S509-4,0))</f>
        <v/>
      </c>
      <c r="G509" s="292" t="str">
        <f ca="1">IF(C509=$U$4,"Enter smelter details", IF(ISERROR($S509),"",OFFSET('Smelter Reference List'!$F$4,$S509-4,0)))</f>
        <v/>
      </c>
      <c r="H509" s="293" t="str">
        <f ca="1">IF(ISERROR($S509),"",OFFSET('Smelter Reference List'!$G$4,$S509-4,0))</f>
        <v/>
      </c>
      <c r="I509" s="294" t="str">
        <f ca="1">IF(ISERROR($S509),"",OFFSET('Smelter Reference List'!$H$4,$S509-4,0))</f>
        <v/>
      </c>
      <c r="J509" s="294" t="str">
        <f ca="1">IF(ISERROR($S509),"",OFFSET('Smelter Reference List'!$I$4,$S509-4,0))</f>
        <v/>
      </c>
      <c r="K509" s="295"/>
      <c r="L509" s="295"/>
      <c r="M509" s="295"/>
      <c r="N509" s="295"/>
      <c r="O509" s="295"/>
      <c r="P509" s="295"/>
      <c r="Q509" s="296"/>
      <c r="R509" s="227"/>
      <c r="S509" s="228" t="e">
        <f>IF(C509="",NA(),MATCH($B509&amp;$C509,'Smelter Reference List'!$J:$J,0))</f>
        <v>#N/A</v>
      </c>
      <c r="T509" s="229"/>
      <c r="U509" s="229">
        <f t="shared" ca="1" si="16"/>
        <v>0</v>
      </c>
      <c r="V509" s="229"/>
      <c r="W509" s="229"/>
      <c r="Y509" s="223" t="str">
        <f t="shared" si="17"/>
        <v/>
      </c>
    </row>
    <row r="510" spans="1:25" s="223" customFormat="1" ht="20.25">
      <c r="A510" s="291"/>
      <c r="B510" s="292" t="str">
        <f>IF(LEN(A510)=0,"",INDEX('Smelter Reference List'!$A:$A,MATCH($A510,'Smelter Reference List'!$E:$E,0)))</f>
        <v/>
      </c>
      <c r="C510" s="298" t="str">
        <f>IF(LEN(A510)=0,"",INDEX('Smelter Reference List'!$C:$C,MATCH($A510,'Smelter Reference List'!$E:$E,0)))</f>
        <v/>
      </c>
      <c r="D510" s="292" t="str">
        <f ca="1">IF(ISERROR($S510),"",OFFSET('Smelter Reference List'!$C$4,$S510-4,0)&amp;"")</f>
        <v/>
      </c>
      <c r="E510" s="292" t="str">
        <f ca="1">IF(ISERROR($S510),"",OFFSET('Smelter Reference List'!$D$4,$S510-4,0)&amp;"")</f>
        <v/>
      </c>
      <c r="F510" s="292" t="str">
        <f ca="1">IF(ISERROR($S510),"",OFFSET('Smelter Reference List'!$E$4,$S510-4,0))</f>
        <v/>
      </c>
      <c r="G510" s="292" t="str">
        <f ca="1">IF(C510=$U$4,"Enter smelter details", IF(ISERROR($S510),"",OFFSET('Smelter Reference List'!$F$4,$S510-4,0)))</f>
        <v/>
      </c>
      <c r="H510" s="293" t="str">
        <f ca="1">IF(ISERROR($S510),"",OFFSET('Smelter Reference List'!$G$4,$S510-4,0))</f>
        <v/>
      </c>
      <c r="I510" s="294" t="str">
        <f ca="1">IF(ISERROR($S510),"",OFFSET('Smelter Reference List'!$H$4,$S510-4,0))</f>
        <v/>
      </c>
      <c r="J510" s="294" t="str">
        <f ca="1">IF(ISERROR($S510),"",OFFSET('Smelter Reference List'!$I$4,$S510-4,0))</f>
        <v/>
      </c>
      <c r="K510" s="295"/>
      <c r="L510" s="295"/>
      <c r="M510" s="295"/>
      <c r="N510" s="295"/>
      <c r="O510" s="295"/>
      <c r="P510" s="295"/>
      <c r="Q510" s="296"/>
      <c r="R510" s="227"/>
      <c r="S510" s="228" t="e">
        <f>IF(C510="",NA(),MATCH($B510&amp;$C510,'Smelter Reference List'!$J:$J,0))</f>
        <v>#N/A</v>
      </c>
      <c r="T510" s="229"/>
      <c r="U510" s="229">
        <f t="shared" ca="1" si="16"/>
        <v>0</v>
      </c>
      <c r="V510" s="229"/>
      <c r="W510" s="229"/>
      <c r="Y510" s="223" t="str">
        <f t="shared" si="17"/>
        <v/>
      </c>
    </row>
    <row r="511" spans="1:25" s="223" customFormat="1" ht="20.25">
      <c r="A511" s="291"/>
      <c r="B511" s="292" t="str">
        <f>IF(LEN(A511)=0,"",INDEX('Smelter Reference List'!$A:$A,MATCH($A511,'Smelter Reference List'!$E:$E,0)))</f>
        <v/>
      </c>
      <c r="C511" s="298" t="str">
        <f>IF(LEN(A511)=0,"",INDEX('Smelter Reference List'!$C:$C,MATCH($A511,'Smelter Reference List'!$E:$E,0)))</f>
        <v/>
      </c>
      <c r="D511" s="292" t="str">
        <f ca="1">IF(ISERROR($S511),"",OFFSET('Smelter Reference List'!$C$4,$S511-4,0)&amp;"")</f>
        <v/>
      </c>
      <c r="E511" s="292" t="str">
        <f ca="1">IF(ISERROR($S511),"",OFFSET('Smelter Reference List'!$D$4,$S511-4,0)&amp;"")</f>
        <v/>
      </c>
      <c r="F511" s="292" t="str">
        <f ca="1">IF(ISERROR($S511),"",OFFSET('Smelter Reference List'!$E$4,$S511-4,0))</f>
        <v/>
      </c>
      <c r="G511" s="292" t="str">
        <f ca="1">IF(C511=$U$4,"Enter smelter details", IF(ISERROR($S511),"",OFFSET('Smelter Reference List'!$F$4,$S511-4,0)))</f>
        <v/>
      </c>
      <c r="H511" s="293" t="str">
        <f ca="1">IF(ISERROR($S511),"",OFFSET('Smelter Reference List'!$G$4,$S511-4,0))</f>
        <v/>
      </c>
      <c r="I511" s="294" t="str">
        <f ca="1">IF(ISERROR($S511),"",OFFSET('Smelter Reference List'!$H$4,$S511-4,0))</f>
        <v/>
      </c>
      <c r="J511" s="294" t="str">
        <f ca="1">IF(ISERROR($S511),"",OFFSET('Smelter Reference List'!$I$4,$S511-4,0))</f>
        <v/>
      </c>
      <c r="K511" s="295"/>
      <c r="L511" s="295"/>
      <c r="M511" s="295"/>
      <c r="N511" s="295"/>
      <c r="O511" s="295"/>
      <c r="P511" s="295"/>
      <c r="Q511" s="296"/>
      <c r="R511" s="227"/>
      <c r="S511" s="228" t="e">
        <f>IF(C511="",NA(),MATCH($B511&amp;$C511,'Smelter Reference List'!$J:$J,0))</f>
        <v>#N/A</v>
      </c>
      <c r="T511" s="229"/>
      <c r="U511" s="229">
        <f t="shared" ca="1" si="16"/>
        <v>0</v>
      </c>
      <c r="V511" s="229"/>
      <c r="W511" s="229"/>
      <c r="Y511" s="223" t="str">
        <f t="shared" si="17"/>
        <v/>
      </c>
    </row>
    <row r="512" spans="1:25" s="223" customFormat="1" ht="20.25">
      <c r="A512" s="291"/>
      <c r="B512" s="292" t="str">
        <f>IF(LEN(A512)=0,"",INDEX('Smelter Reference List'!$A:$A,MATCH($A512,'Smelter Reference List'!$E:$E,0)))</f>
        <v/>
      </c>
      <c r="C512" s="298" t="str">
        <f>IF(LEN(A512)=0,"",INDEX('Smelter Reference List'!$C:$C,MATCH($A512,'Smelter Reference List'!$E:$E,0)))</f>
        <v/>
      </c>
      <c r="D512" s="292" t="str">
        <f ca="1">IF(ISERROR($S512),"",OFFSET('Smelter Reference List'!$C$4,$S512-4,0)&amp;"")</f>
        <v/>
      </c>
      <c r="E512" s="292" t="str">
        <f ca="1">IF(ISERROR($S512),"",OFFSET('Smelter Reference List'!$D$4,$S512-4,0)&amp;"")</f>
        <v/>
      </c>
      <c r="F512" s="292" t="str">
        <f ca="1">IF(ISERROR($S512),"",OFFSET('Smelter Reference List'!$E$4,$S512-4,0))</f>
        <v/>
      </c>
      <c r="G512" s="292" t="str">
        <f ca="1">IF(C512=$U$4,"Enter smelter details", IF(ISERROR($S512),"",OFFSET('Smelter Reference List'!$F$4,$S512-4,0)))</f>
        <v/>
      </c>
      <c r="H512" s="293" t="str">
        <f ca="1">IF(ISERROR($S512),"",OFFSET('Smelter Reference List'!$G$4,$S512-4,0))</f>
        <v/>
      </c>
      <c r="I512" s="294" t="str">
        <f ca="1">IF(ISERROR($S512),"",OFFSET('Smelter Reference List'!$H$4,$S512-4,0))</f>
        <v/>
      </c>
      <c r="J512" s="294" t="str">
        <f ca="1">IF(ISERROR($S512),"",OFFSET('Smelter Reference List'!$I$4,$S512-4,0))</f>
        <v/>
      </c>
      <c r="K512" s="295"/>
      <c r="L512" s="295"/>
      <c r="M512" s="295"/>
      <c r="N512" s="295"/>
      <c r="O512" s="295"/>
      <c r="P512" s="295"/>
      <c r="Q512" s="296"/>
      <c r="R512" s="227"/>
      <c r="S512" s="228" t="e">
        <f>IF(C512="",NA(),MATCH($B512&amp;$C512,'Smelter Reference List'!$J:$J,0))</f>
        <v>#N/A</v>
      </c>
      <c r="T512" s="229"/>
      <c r="U512" s="229">
        <f t="shared" ca="1" si="16"/>
        <v>0</v>
      </c>
      <c r="V512" s="229"/>
      <c r="W512" s="229"/>
      <c r="Y512" s="223" t="str">
        <f t="shared" si="17"/>
        <v/>
      </c>
    </row>
    <row r="513" spans="1:25" s="223" customFormat="1" ht="20.25">
      <c r="A513" s="291"/>
      <c r="B513" s="292" t="str">
        <f>IF(LEN(A513)=0,"",INDEX('Smelter Reference List'!$A:$A,MATCH($A513,'Smelter Reference List'!$E:$E,0)))</f>
        <v/>
      </c>
      <c r="C513" s="298" t="str">
        <f>IF(LEN(A513)=0,"",INDEX('Smelter Reference List'!$C:$C,MATCH($A513,'Smelter Reference List'!$E:$E,0)))</f>
        <v/>
      </c>
      <c r="D513" s="292" t="str">
        <f ca="1">IF(ISERROR($S513),"",OFFSET('Smelter Reference List'!$C$4,$S513-4,0)&amp;"")</f>
        <v/>
      </c>
      <c r="E513" s="292" t="str">
        <f ca="1">IF(ISERROR($S513),"",OFFSET('Smelter Reference List'!$D$4,$S513-4,0)&amp;"")</f>
        <v/>
      </c>
      <c r="F513" s="292" t="str">
        <f ca="1">IF(ISERROR($S513),"",OFFSET('Smelter Reference List'!$E$4,$S513-4,0))</f>
        <v/>
      </c>
      <c r="G513" s="292" t="str">
        <f ca="1">IF(C513=$U$4,"Enter smelter details", IF(ISERROR($S513),"",OFFSET('Smelter Reference List'!$F$4,$S513-4,0)))</f>
        <v/>
      </c>
      <c r="H513" s="293" t="str">
        <f ca="1">IF(ISERROR($S513),"",OFFSET('Smelter Reference List'!$G$4,$S513-4,0))</f>
        <v/>
      </c>
      <c r="I513" s="294" t="str">
        <f ca="1">IF(ISERROR($S513),"",OFFSET('Smelter Reference List'!$H$4,$S513-4,0))</f>
        <v/>
      </c>
      <c r="J513" s="294" t="str">
        <f ca="1">IF(ISERROR($S513),"",OFFSET('Smelter Reference List'!$I$4,$S513-4,0))</f>
        <v/>
      </c>
      <c r="K513" s="295"/>
      <c r="L513" s="295"/>
      <c r="M513" s="295"/>
      <c r="N513" s="295"/>
      <c r="O513" s="295"/>
      <c r="P513" s="295"/>
      <c r="Q513" s="296"/>
      <c r="R513" s="227"/>
      <c r="S513" s="228" t="e">
        <f>IF(C513="",NA(),MATCH($B513&amp;$C513,'Smelter Reference List'!$J:$J,0))</f>
        <v>#N/A</v>
      </c>
      <c r="T513" s="229"/>
      <c r="U513" s="229">
        <f t="shared" ca="1" si="16"/>
        <v>0</v>
      </c>
      <c r="V513" s="229"/>
      <c r="W513" s="229"/>
      <c r="Y513" s="223" t="str">
        <f t="shared" si="17"/>
        <v/>
      </c>
    </row>
    <row r="514" spans="1:25" s="223" customFormat="1" ht="20.25">
      <c r="A514" s="291"/>
      <c r="B514" s="292" t="str">
        <f>IF(LEN(A514)=0,"",INDEX('Smelter Reference List'!$A:$A,MATCH($A514,'Smelter Reference List'!$E:$E,0)))</f>
        <v/>
      </c>
      <c r="C514" s="298" t="str">
        <f>IF(LEN(A514)=0,"",INDEX('Smelter Reference List'!$C:$C,MATCH($A514,'Smelter Reference List'!$E:$E,0)))</f>
        <v/>
      </c>
      <c r="D514" s="292" t="str">
        <f ca="1">IF(ISERROR($S514),"",OFFSET('Smelter Reference List'!$C$4,$S514-4,0)&amp;"")</f>
        <v/>
      </c>
      <c r="E514" s="292" t="str">
        <f ca="1">IF(ISERROR($S514),"",OFFSET('Smelter Reference List'!$D$4,$S514-4,0)&amp;"")</f>
        <v/>
      </c>
      <c r="F514" s="292" t="str">
        <f ca="1">IF(ISERROR($S514),"",OFFSET('Smelter Reference List'!$E$4,$S514-4,0))</f>
        <v/>
      </c>
      <c r="G514" s="292" t="str">
        <f ca="1">IF(C514=$U$4,"Enter smelter details", IF(ISERROR($S514),"",OFFSET('Smelter Reference List'!$F$4,$S514-4,0)))</f>
        <v/>
      </c>
      <c r="H514" s="293" t="str">
        <f ca="1">IF(ISERROR($S514),"",OFFSET('Smelter Reference List'!$G$4,$S514-4,0))</f>
        <v/>
      </c>
      <c r="I514" s="294" t="str">
        <f ca="1">IF(ISERROR($S514),"",OFFSET('Smelter Reference List'!$H$4,$S514-4,0))</f>
        <v/>
      </c>
      <c r="J514" s="294" t="str">
        <f ca="1">IF(ISERROR($S514),"",OFFSET('Smelter Reference List'!$I$4,$S514-4,0))</f>
        <v/>
      </c>
      <c r="K514" s="295"/>
      <c r="L514" s="295"/>
      <c r="M514" s="295"/>
      <c r="N514" s="295"/>
      <c r="O514" s="295"/>
      <c r="P514" s="295"/>
      <c r="Q514" s="296"/>
      <c r="R514" s="227"/>
      <c r="S514" s="228" t="e">
        <f>IF(C514="",NA(),MATCH($B514&amp;$C514,'Smelter Reference List'!$J:$J,0))</f>
        <v>#N/A</v>
      </c>
      <c r="T514" s="229"/>
      <c r="U514" s="229">
        <f t="shared" ca="1" si="16"/>
        <v>0</v>
      </c>
      <c r="V514" s="229"/>
      <c r="W514" s="229"/>
      <c r="Y514" s="223" t="str">
        <f t="shared" si="17"/>
        <v/>
      </c>
    </row>
    <row r="515" spans="1:25" s="223" customFormat="1" ht="20.25">
      <c r="A515" s="291"/>
      <c r="B515" s="292" t="str">
        <f>IF(LEN(A515)=0,"",INDEX('Smelter Reference List'!$A:$A,MATCH($A515,'Smelter Reference List'!$E:$E,0)))</f>
        <v/>
      </c>
      <c r="C515" s="298" t="str">
        <f>IF(LEN(A515)=0,"",INDEX('Smelter Reference List'!$C:$C,MATCH($A515,'Smelter Reference List'!$E:$E,0)))</f>
        <v/>
      </c>
      <c r="D515" s="292" t="str">
        <f ca="1">IF(ISERROR($S515),"",OFFSET('Smelter Reference List'!$C$4,$S515-4,0)&amp;"")</f>
        <v/>
      </c>
      <c r="E515" s="292" t="str">
        <f ca="1">IF(ISERROR($S515),"",OFFSET('Smelter Reference List'!$D$4,$S515-4,0)&amp;"")</f>
        <v/>
      </c>
      <c r="F515" s="292" t="str">
        <f ca="1">IF(ISERROR($S515),"",OFFSET('Smelter Reference List'!$E$4,$S515-4,0))</f>
        <v/>
      </c>
      <c r="G515" s="292" t="str">
        <f ca="1">IF(C515=$U$4,"Enter smelter details", IF(ISERROR($S515),"",OFFSET('Smelter Reference List'!$F$4,$S515-4,0)))</f>
        <v/>
      </c>
      <c r="H515" s="293" t="str">
        <f ca="1">IF(ISERROR($S515),"",OFFSET('Smelter Reference List'!$G$4,$S515-4,0))</f>
        <v/>
      </c>
      <c r="I515" s="294" t="str">
        <f ca="1">IF(ISERROR($S515),"",OFFSET('Smelter Reference List'!$H$4,$S515-4,0))</f>
        <v/>
      </c>
      <c r="J515" s="294" t="str">
        <f ca="1">IF(ISERROR($S515),"",OFFSET('Smelter Reference List'!$I$4,$S515-4,0))</f>
        <v/>
      </c>
      <c r="K515" s="295"/>
      <c r="L515" s="295"/>
      <c r="M515" s="295"/>
      <c r="N515" s="295"/>
      <c r="O515" s="295"/>
      <c r="P515" s="295"/>
      <c r="Q515" s="296"/>
      <c r="R515" s="227"/>
      <c r="S515" s="228" t="e">
        <f>IF(C515="",NA(),MATCH($B515&amp;$C515,'Smelter Reference List'!$J:$J,0))</f>
        <v>#N/A</v>
      </c>
      <c r="T515" s="229"/>
      <c r="U515" s="229">
        <f t="shared" ca="1" si="16"/>
        <v>0</v>
      </c>
      <c r="V515" s="229"/>
      <c r="W515" s="229"/>
      <c r="Y515" s="223" t="str">
        <f t="shared" si="17"/>
        <v/>
      </c>
    </row>
    <row r="516" spans="1:25" s="223" customFormat="1" ht="20.25">
      <c r="A516" s="291"/>
      <c r="B516" s="292" t="str">
        <f>IF(LEN(A516)=0,"",INDEX('Smelter Reference List'!$A:$A,MATCH($A516,'Smelter Reference List'!$E:$E,0)))</f>
        <v/>
      </c>
      <c r="C516" s="298" t="str">
        <f>IF(LEN(A516)=0,"",INDEX('Smelter Reference List'!$C:$C,MATCH($A516,'Smelter Reference List'!$E:$E,0)))</f>
        <v/>
      </c>
      <c r="D516" s="292" t="str">
        <f ca="1">IF(ISERROR($S516),"",OFFSET('Smelter Reference List'!$C$4,$S516-4,0)&amp;"")</f>
        <v/>
      </c>
      <c r="E516" s="292" t="str">
        <f ca="1">IF(ISERROR($S516),"",OFFSET('Smelter Reference List'!$D$4,$S516-4,0)&amp;"")</f>
        <v/>
      </c>
      <c r="F516" s="292" t="str">
        <f ca="1">IF(ISERROR($S516),"",OFFSET('Smelter Reference List'!$E$4,$S516-4,0))</f>
        <v/>
      </c>
      <c r="G516" s="292" t="str">
        <f ca="1">IF(C516=$U$4,"Enter smelter details", IF(ISERROR($S516),"",OFFSET('Smelter Reference List'!$F$4,$S516-4,0)))</f>
        <v/>
      </c>
      <c r="H516" s="293" t="str">
        <f ca="1">IF(ISERROR($S516),"",OFFSET('Smelter Reference List'!$G$4,$S516-4,0))</f>
        <v/>
      </c>
      <c r="I516" s="294" t="str">
        <f ca="1">IF(ISERROR($S516),"",OFFSET('Smelter Reference List'!$H$4,$S516-4,0))</f>
        <v/>
      </c>
      <c r="J516" s="294" t="str">
        <f ca="1">IF(ISERROR($S516),"",OFFSET('Smelter Reference List'!$I$4,$S516-4,0))</f>
        <v/>
      </c>
      <c r="K516" s="295"/>
      <c r="L516" s="295"/>
      <c r="M516" s="295"/>
      <c r="N516" s="295"/>
      <c r="O516" s="295"/>
      <c r="P516" s="295"/>
      <c r="Q516" s="296"/>
      <c r="R516" s="227"/>
      <c r="S516" s="228" t="e">
        <f>IF(C516="",NA(),MATCH($B516&amp;$C516,'Smelter Reference List'!$J:$J,0))</f>
        <v>#N/A</v>
      </c>
      <c r="T516" s="229"/>
      <c r="U516" s="229">
        <f t="shared" ca="1" si="16"/>
        <v>0</v>
      </c>
      <c r="V516" s="229"/>
      <c r="W516" s="229"/>
      <c r="Y516" s="223" t="str">
        <f t="shared" si="17"/>
        <v/>
      </c>
    </row>
    <row r="517" spans="1:25" s="223" customFormat="1" ht="20.25">
      <c r="A517" s="291"/>
      <c r="B517" s="292" t="str">
        <f>IF(LEN(A517)=0,"",INDEX('Smelter Reference List'!$A:$A,MATCH($A517,'Smelter Reference List'!$E:$E,0)))</f>
        <v/>
      </c>
      <c r="C517" s="298" t="str">
        <f>IF(LEN(A517)=0,"",INDEX('Smelter Reference List'!$C:$C,MATCH($A517,'Smelter Reference List'!$E:$E,0)))</f>
        <v/>
      </c>
      <c r="D517" s="292" t="str">
        <f ca="1">IF(ISERROR($S517),"",OFFSET('Smelter Reference List'!$C$4,$S517-4,0)&amp;"")</f>
        <v/>
      </c>
      <c r="E517" s="292" t="str">
        <f ca="1">IF(ISERROR($S517),"",OFFSET('Smelter Reference List'!$D$4,$S517-4,0)&amp;"")</f>
        <v/>
      </c>
      <c r="F517" s="292" t="str">
        <f ca="1">IF(ISERROR($S517),"",OFFSET('Smelter Reference List'!$E$4,$S517-4,0))</f>
        <v/>
      </c>
      <c r="G517" s="292" t="str">
        <f ca="1">IF(C517=$U$4,"Enter smelter details", IF(ISERROR($S517),"",OFFSET('Smelter Reference List'!$F$4,$S517-4,0)))</f>
        <v/>
      </c>
      <c r="H517" s="293" t="str">
        <f ca="1">IF(ISERROR($S517),"",OFFSET('Smelter Reference List'!$G$4,$S517-4,0))</f>
        <v/>
      </c>
      <c r="I517" s="294" t="str">
        <f ca="1">IF(ISERROR($S517),"",OFFSET('Smelter Reference List'!$H$4,$S517-4,0))</f>
        <v/>
      </c>
      <c r="J517" s="294" t="str">
        <f ca="1">IF(ISERROR($S517),"",OFFSET('Smelter Reference List'!$I$4,$S517-4,0))</f>
        <v/>
      </c>
      <c r="K517" s="295"/>
      <c r="L517" s="295"/>
      <c r="M517" s="295"/>
      <c r="N517" s="295"/>
      <c r="O517" s="295"/>
      <c r="P517" s="295"/>
      <c r="Q517" s="296"/>
      <c r="R517" s="227"/>
      <c r="S517" s="228" t="e">
        <f>IF(C517="",NA(),MATCH($B517&amp;$C517,'Smelter Reference List'!$J:$J,0))</f>
        <v>#N/A</v>
      </c>
      <c r="T517" s="229"/>
      <c r="U517" s="229">
        <f t="shared" ref="U517:U580" ca="1" si="18">IF(AND(C517="Smelter not listed",OR(LEN(D517)=0,LEN(E517)=0)),1,0)</f>
        <v>0</v>
      </c>
      <c r="V517" s="229"/>
      <c r="W517" s="229"/>
      <c r="Y517" s="223" t="str">
        <f t="shared" ref="Y517:Y580" si="19">B517&amp;C517</f>
        <v/>
      </c>
    </row>
    <row r="518" spans="1:25" s="223" customFormat="1" ht="20.25">
      <c r="A518" s="291"/>
      <c r="B518" s="292" t="str">
        <f>IF(LEN(A518)=0,"",INDEX('Smelter Reference List'!$A:$A,MATCH($A518,'Smelter Reference List'!$E:$E,0)))</f>
        <v/>
      </c>
      <c r="C518" s="298" t="str">
        <f>IF(LEN(A518)=0,"",INDEX('Smelter Reference List'!$C:$C,MATCH($A518,'Smelter Reference List'!$E:$E,0)))</f>
        <v/>
      </c>
      <c r="D518" s="292" t="str">
        <f ca="1">IF(ISERROR($S518),"",OFFSET('Smelter Reference List'!$C$4,$S518-4,0)&amp;"")</f>
        <v/>
      </c>
      <c r="E518" s="292" t="str">
        <f ca="1">IF(ISERROR($S518),"",OFFSET('Smelter Reference List'!$D$4,$S518-4,0)&amp;"")</f>
        <v/>
      </c>
      <c r="F518" s="292" t="str">
        <f ca="1">IF(ISERROR($S518),"",OFFSET('Smelter Reference List'!$E$4,$S518-4,0))</f>
        <v/>
      </c>
      <c r="G518" s="292" t="str">
        <f ca="1">IF(C518=$U$4,"Enter smelter details", IF(ISERROR($S518),"",OFFSET('Smelter Reference List'!$F$4,$S518-4,0)))</f>
        <v/>
      </c>
      <c r="H518" s="293" t="str">
        <f ca="1">IF(ISERROR($S518),"",OFFSET('Smelter Reference List'!$G$4,$S518-4,0))</f>
        <v/>
      </c>
      <c r="I518" s="294" t="str">
        <f ca="1">IF(ISERROR($S518),"",OFFSET('Smelter Reference List'!$H$4,$S518-4,0))</f>
        <v/>
      </c>
      <c r="J518" s="294" t="str">
        <f ca="1">IF(ISERROR($S518),"",OFFSET('Smelter Reference List'!$I$4,$S518-4,0))</f>
        <v/>
      </c>
      <c r="K518" s="295"/>
      <c r="L518" s="295"/>
      <c r="M518" s="295"/>
      <c r="N518" s="295"/>
      <c r="O518" s="295"/>
      <c r="P518" s="295"/>
      <c r="Q518" s="296"/>
      <c r="R518" s="227"/>
      <c r="S518" s="228" t="e">
        <f>IF(C518="",NA(),MATCH($B518&amp;$C518,'Smelter Reference List'!$J:$J,0))</f>
        <v>#N/A</v>
      </c>
      <c r="T518" s="229"/>
      <c r="U518" s="229">
        <f t="shared" ca="1" si="18"/>
        <v>0</v>
      </c>
      <c r="V518" s="229"/>
      <c r="W518" s="229"/>
      <c r="Y518" s="223" t="str">
        <f t="shared" si="19"/>
        <v/>
      </c>
    </row>
    <row r="519" spans="1:25" s="223" customFormat="1" ht="20.25">
      <c r="A519" s="291"/>
      <c r="B519" s="292" t="str">
        <f>IF(LEN(A519)=0,"",INDEX('Smelter Reference List'!$A:$A,MATCH($A519,'Smelter Reference List'!$E:$E,0)))</f>
        <v/>
      </c>
      <c r="C519" s="298" t="str">
        <f>IF(LEN(A519)=0,"",INDEX('Smelter Reference List'!$C:$C,MATCH($A519,'Smelter Reference List'!$E:$E,0)))</f>
        <v/>
      </c>
      <c r="D519" s="292" t="str">
        <f ca="1">IF(ISERROR($S519),"",OFFSET('Smelter Reference List'!$C$4,$S519-4,0)&amp;"")</f>
        <v/>
      </c>
      <c r="E519" s="292" t="str">
        <f ca="1">IF(ISERROR($S519),"",OFFSET('Smelter Reference List'!$D$4,$S519-4,0)&amp;"")</f>
        <v/>
      </c>
      <c r="F519" s="292" t="str">
        <f ca="1">IF(ISERROR($S519),"",OFFSET('Smelter Reference List'!$E$4,$S519-4,0))</f>
        <v/>
      </c>
      <c r="G519" s="292" t="str">
        <f ca="1">IF(C519=$U$4,"Enter smelter details", IF(ISERROR($S519),"",OFFSET('Smelter Reference List'!$F$4,$S519-4,0)))</f>
        <v/>
      </c>
      <c r="H519" s="293" t="str">
        <f ca="1">IF(ISERROR($S519),"",OFFSET('Smelter Reference List'!$G$4,$S519-4,0))</f>
        <v/>
      </c>
      <c r="I519" s="294" t="str">
        <f ca="1">IF(ISERROR($S519),"",OFFSET('Smelter Reference List'!$H$4,$S519-4,0))</f>
        <v/>
      </c>
      <c r="J519" s="294" t="str">
        <f ca="1">IF(ISERROR($S519),"",OFFSET('Smelter Reference List'!$I$4,$S519-4,0))</f>
        <v/>
      </c>
      <c r="K519" s="295"/>
      <c r="L519" s="295"/>
      <c r="M519" s="295"/>
      <c r="N519" s="295"/>
      <c r="O519" s="295"/>
      <c r="P519" s="295"/>
      <c r="Q519" s="296"/>
      <c r="R519" s="227"/>
      <c r="S519" s="228" t="e">
        <f>IF(C519="",NA(),MATCH($B519&amp;$C519,'Smelter Reference List'!$J:$J,0))</f>
        <v>#N/A</v>
      </c>
      <c r="T519" s="229"/>
      <c r="U519" s="229">
        <f t="shared" ca="1" si="18"/>
        <v>0</v>
      </c>
      <c r="V519" s="229"/>
      <c r="W519" s="229"/>
      <c r="Y519" s="223" t="str">
        <f t="shared" si="19"/>
        <v/>
      </c>
    </row>
    <row r="520" spans="1:25" s="223" customFormat="1" ht="20.25">
      <c r="A520" s="291"/>
      <c r="B520" s="292" t="str">
        <f>IF(LEN(A520)=0,"",INDEX('Smelter Reference List'!$A:$A,MATCH($A520,'Smelter Reference List'!$E:$E,0)))</f>
        <v/>
      </c>
      <c r="C520" s="298" t="str">
        <f>IF(LEN(A520)=0,"",INDEX('Smelter Reference List'!$C:$C,MATCH($A520,'Smelter Reference List'!$E:$E,0)))</f>
        <v/>
      </c>
      <c r="D520" s="292" t="str">
        <f ca="1">IF(ISERROR($S520),"",OFFSET('Smelter Reference List'!$C$4,$S520-4,0)&amp;"")</f>
        <v/>
      </c>
      <c r="E520" s="292" t="str">
        <f ca="1">IF(ISERROR($S520),"",OFFSET('Smelter Reference List'!$D$4,$S520-4,0)&amp;"")</f>
        <v/>
      </c>
      <c r="F520" s="292" t="str">
        <f ca="1">IF(ISERROR($S520),"",OFFSET('Smelter Reference List'!$E$4,$S520-4,0))</f>
        <v/>
      </c>
      <c r="G520" s="292" t="str">
        <f ca="1">IF(C520=$U$4,"Enter smelter details", IF(ISERROR($S520),"",OFFSET('Smelter Reference List'!$F$4,$S520-4,0)))</f>
        <v/>
      </c>
      <c r="H520" s="293" t="str">
        <f ca="1">IF(ISERROR($S520),"",OFFSET('Smelter Reference List'!$G$4,$S520-4,0))</f>
        <v/>
      </c>
      <c r="I520" s="294" t="str">
        <f ca="1">IF(ISERROR($S520),"",OFFSET('Smelter Reference List'!$H$4,$S520-4,0))</f>
        <v/>
      </c>
      <c r="J520" s="294" t="str">
        <f ca="1">IF(ISERROR($S520),"",OFFSET('Smelter Reference List'!$I$4,$S520-4,0))</f>
        <v/>
      </c>
      <c r="K520" s="295"/>
      <c r="L520" s="295"/>
      <c r="M520" s="295"/>
      <c r="N520" s="295"/>
      <c r="O520" s="295"/>
      <c r="P520" s="295"/>
      <c r="Q520" s="296"/>
      <c r="R520" s="227"/>
      <c r="S520" s="228" t="e">
        <f>IF(C520="",NA(),MATCH($B520&amp;$C520,'Smelter Reference List'!$J:$J,0))</f>
        <v>#N/A</v>
      </c>
      <c r="T520" s="229"/>
      <c r="U520" s="229">
        <f t="shared" ca="1" si="18"/>
        <v>0</v>
      </c>
      <c r="V520" s="229"/>
      <c r="W520" s="229"/>
      <c r="Y520" s="223" t="str">
        <f t="shared" si="19"/>
        <v/>
      </c>
    </row>
    <row r="521" spans="1:25" s="223" customFormat="1" ht="20.25">
      <c r="A521" s="291"/>
      <c r="B521" s="292" t="str">
        <f>IF(LEN(A521)=0,"",INDEX('Smelter Reference List'!$A:$A,MATCH($A521,'Smelter Reference List'!$E:$E,0)))</f>
        <v/>
      </c>
      <c r="C521" s="298" t="str">
        <f>IF(LEN(A521)=0,"",INDEX('Smelter Reference List'!$C:$C,MATCH($A521,'Smelter Reference List'!$E:$E,0)))</f>
        <v/>
      </c>
      <c r="D521" s="292" t="str">
        <f ca="1">IF(ISERROR($S521),"",OFFSET('Smelter Reference List'!$C$4,$S521-4,0)&amp;"")</f>
        <v/>
      </c>
      <c r="E521" s="292" t="str">
        <f ca="1">IF(ISERROR($S521),"",OFFSET('Smelter Reference List'!$D$4,$S521-4,0)&amp;"")</f>
        <v/>
      </c>
      <c r="F521" s="292" t="str">
        <f ca="1">IF(ISERROR($S521),"",OFFSET('Smelter Reference List'!$E$4,$S521-4,0))</f>
        <v/>
      </c>
      <c r="G521" s="292" t="str">
        <f ca="1">IF(C521=$U$4,"Enter smelter details", IF(ISERROR($S521),"",OFFSET('Smelter Reference List'!$F$4,$S521-4,0)))</f>
        <v/>
      </c>
      <c r="H521" s="293" t="str">
        <f ca="1">IF(ISERROR($S521),"",OFFSET('Smelter Reference List'!$G$4,$S521-4,0))</f>
        <v/>
      </c>
      <c r="I521" s="294" t="str">
        <f ca="1">IF(ISERROR($S521),"",OFFSET('Smelter Reference List'!$H$4,$S521-4,0))</f>
        <v/>
      </c>
      <c r="J521" s="294" t="str">
        <f ca="1">IF(ISERROR($S521),"",OFFSET('Smelter Reference List'!$I$4,$S521-4,0))</f>
        <v/>
      </c>
      <c r="K521" s="295"/>
      <c r="L521" s="295"/>
      <c r="M521" s="295"/>
      <c r="N521" s="295"/>
      <c r="O521" s="295"/>
      <c r="P521" s="295"/>
      <c r="Q521" s="296"/>
      <c r="R521" s="227"/>
      <c r="S521" s="228" t="e">
        <f>IF(C521="",NA(),MATCH($B521&amp;$C521,'Smelter Reference List'!$J:$J,0))</f>
        <v>#N/A</v>
      </c>
      <c r="T521" s="229"/>
      <c r="U521" s="229">
        <f t="shared" ca="1" si="18"/>
        <v>0</v>
      </c>
      <c r="V521" s="229"/>
      <c r="W521" s="229"/>
      <c r="Y521" s="223" t="str">
        <f t="shared" si="19"/>
        <v/>
      </c>
    </row>
    <row r="522" spans="1:25" s="223" customFormat="1" ht="20.25">
      <c r="A522" s="291"/>
      <c r="B522" s="292" t="str">
        <f>IF(LEN(A522)=0,"",INDEX('Smelter Reference List'!$A:$A,MATCH($A522,'Smelter Reference List'!$E:$E,0)))</f>
        <v/>
      </c>
      <c r="C522" s="298" t="str">
        <f>IF(LEN(A522)=0,"",INDEX('Smelter Reference List'!$C:$C,MATCH($A522,'Smelter Reference List'!$E:$E,0)))</f>
        <v/>
      </c>
      <c r="D522" s="292" t="str">
        <f ca="1">IF(ISERROR($S522),"",OFFSET('Smelter Reference List'!$C$4,$S522-4,0)&amp;"")</f>
        <v/>
      </c>
      <c r="E522" s="292" t="str">
        <f ca="1">IF(ISERROR($S522),"",OFFSET('Smelter Reference List'!$D$4,$S522-4,0)&amp;"")</f>
        <v/>
      </c>
      <c r="F522" s="292" t="str">
        <f ca="1">IF(ISERROR($S522),"",OFFSET('Smelter Reference List'!$E$4,$S522-4,0))</f>
        <v/>
      </c>
      <c r="G522" s="292" t="str">
        <f ca="1">IF(C522=$U$4,"Enter smelter details", IF(ISERROR($S522),"",OFFSET('Smelter Reference List'!$F$4,$S522-4,0)))</f>
        <v/>
      </c>
      <c r="H522" s="293" t="str">
        <f ca="1">IF(ISERROR($S522),"",OFFSET('Smelter Reference List'!$G$4,$S522-4,0))</f>
        <v/>
      </c>
      <c r="I522" s="294" t="str">
        <f ca="1">IF(ISERROR($S522),"",OFFSET('Smelter Reference List'!$H$4,$S522-4,0))</f>
        <v/>
      </c>
      <c r="J522" s="294" t="str">
        <f ca="1">IF(ISERROR($S522),"",OFFSET('Smelter Reference List'!$I$4,$S522-4,0))</f>
        <v/>
      </c>
      <c r="K522" s="295"/>
      <c r="L522" s="295"/>
      <c r="M522" s="295"/>
      <c r="N522" s="295"/>
      <c r="O522" s="295"/>
      <c r="P522" s="295"/>
      <c r="Q522" s="296"/>
      <c r="R522" s="227"/>
      <c r="S522" s="228" t="e">
        <f>IF(C522="",NA(),MATCH($B522&amp;$C522,'Smelter Reference List'!$J:$J,0))</f>
        <v>#N/A</v>
      </c>
      <c r="T522" s="229"/>
      <c r="U522" s="229">
        <f t="shared" ca="1" si="18"/>
        <v>0</v>
      </c>
      <c r="V522" s="229"/>
      <c r="W522" s="229"/>
      <c r="Y522" s="223" t="str">
        <f t="shared" si="19"/>
        <v/>
      </c>
    </row>
    <row r="523" spans="1:25" s="223" customFormat="1" ht="20.25">
      <c r="A523" s="291"/>
      <c r="B523" s="292" t="str">
        <f>IF(LEN(A523)=0,"",INDEX('Smelter Reference List'!$A:$A,MATCH($A523,'Smelter Reference List'!$E:$E,0)))</f>
        <v/>
      </c>
      <c r="C523" s="298" t="str">
        <f>IF(LEN(A523)=0,"",INDEX('Smelter Reference List'!$C:$C,MATCH($A523,'Smelter Reference List'!$E:$E,0)))</f>
        <v/>
      </c>
      <c r="D523" s="292" t="str">
        <f ca="1">IF(ISERROR($S523),"",OFFSET('Smelter Reference List'!$C$4,$S523-4,0)&amp;"")</f>
        <v/>
      </c>
      <c r="E523" s="292" t="str">
        <f ca="1">IF(ISERROR($S523),"",OFFSET('Smelter Reference List'!$D$4,$S523-4,0)&amp;"")</f>
        <v/>
      </c>
      <c r="F523" s="292" t="str">
        <f ca="1">IF(ISERROR($S523),"",OFFSET('Smelter Reference List'!$E$4,$S523-4,0))</f>
        <v/>
      </c>
      <c r="G523" s="292" t="str">
        <f ca="1">IF(C523=$U$4,"Enter smelter details", IF(ISERROR($S523),"",OFFSET('Smelter Reference List'!$F$4,$S523-4,0)))</f>
        <v/>
      </c>
      <c r="H523" s="293" t="str">
        <f ca="1">IF(ISERROR($S523),"",OFFSET('Smelter Reference List'!$G$4,$S523-4,0))</f>
        <v/>
      </c>
      <c r="I523" s="294" t="str">
        <f ca="1">IF(ISERROR($S523),"",OFFSET('Smelter Reference List'!$H$4,$S523-4,0))</f>
        <v/>
      </c>
      <c r="J523" s="294" t="str">
        <f ca="1">IF(ISERROR($S523),"",OFFSET('Smelter Reference List'!$I$4,$S523-4,0))</f>
        <v/>
      </c>
      <c r="K523" s="295"/>
      <c r="L523" s="295"/>
      <c r="M523" s="295"/>
      <c r="N523" s="295"/>
      <c r="O523" s="295"/>
      <c r="P523" s="295"/>
      <c r="Q523" s="296"/>
      <c r="R523" s="227"/>
      <c r="S523" s="228" t="e">
        <f>IF(C523="",NA(),MATCH($B523&amp;$C523,'Smelter Reference List'!$J:$J,0))</f>
        <v>#N/A</v>
      </c>
      <c r="T523" s="229"/>
      <c r="U523" s="229">
        <f t="shared" ca="1" si="18"/>
        <v>0</v>
      </c>
      <c r="V523" s="229"/>
      <c r="W523" s="229"/>
      <c r="Y523" s="223" t="str">
        <f t="shared" si="19"/>
        <v/>
      </c>
    </row>
    <row r="524" spans="1:25" s="223" customFormat="1" ht="20.25">
      <c r="A524" s="291"/>
      <c r="B524" s="292" t="str">
        <f>IF(LEN(A524)=0,"",INDEX('Smelter Reference List'!$A:$A,MATCH($A524,'Smelter Reference List'!$E:$E,0)))</f>
        <v/>
      </c>
      <c r="C524" s="298" t="str">
        <f>IF(LEN(A524)=0,"",INDEX('Smelter Reference List'!$C:$C,MATCH($A524,'Smelter Reference List'!$E:$E,0)))</f>
        <v/>
      </c>
      <c r="D524" s="292" t="str">
        <f ca="1">IF(ISERROR($S524),"",OFFSET('Smelter Reference List'!$C$4,$S524-4,0)&amp;"")</f>
        <v/>
      </c>
      <c r="E524" s="292" t="str">
        <f ca="1">IF(ISERROR($S524),"",OFFSET('Smelter Reference List'!$D$4,$S524-4,0)&amp;"")</f>
        <v/>
      </c>
      <c r="F524" s="292" t="str">
        <f ca="1">IF(ISERROR($S524),"",OFFSET('Smelter Reference List'!$E$4,$S524-4,0))</f>
        <v/>
      </c>
      <c r="G524" s="292" t="str">
        <f ca="1">IF(C524=$U$4,"Enter smelter details", IF(ISERROR($S524),"",OFFSET('Smelter Reference List'!$F$4,$S524-4,0)))</f>
        <v/>
      </c>
      <c r="H524" s="293" t="str">
        <f ca="1">IF(ISERROR($S524),"",OFFSET('Smelter Reference List'!$G$4,$S524-4,0))</f>
        <v/>
      </c>
      <c r="I524" s="294" t="str">
        <f ca="1">IF(ISERROR($S524),"",OFFSET('Smelter Reference List'!$H$4,$S524-4,0))</f>
        <v/>
      </c>
      <c r="J524" s="294" t="str">
        <f ca="1">IF(ISERROR($S524),"",OFFSET('Smelter Reference List'!$I$4,$S524-4,0))</f>
        <v/>
      </c>
      <c r="K524" s="295"/>
      <c r="L524" s="295"/>
      <c r="M524" s="295"/>
      <c r="N524" s="295"/>
      <c r="O524" s="295"/>
      <c r="P524" s="295"/>
      <c r="Q524" s="296"/>
      <c r="R524" s="227"/>
      <c r="S524" s="228" t="e">
        <f>IF(C524="",NA(),MATCH($B524&amp;$C524,'Smelter Reference List'!$J:$J,0))</f>
        <v>#N/A</v>
      </c>
      <c r="T524" s="229"/>
      <c r="U524" s="229">
        <f t="shared" ca="1" si="18"/>
        <v>0</v>
      </c>
      <c r="V524" s="229"/>
      <c r="W524" s="229"/>
      <c r="Y524" s="223" t="str">
        <f t="shared" si="19"/>
        <v/>
      </c>
    </row>
    <row r="525" spans="1:25" s="223" customFormat="1" ht="20.25">
      <c r="A525" s="291"/>
      <c r="B525" s="292" t="str">
        <f>IF(LEN(A525)=0,"",INDEX('Smelter Reference List'!$A:$A,MATCH($A525,'Smelter Reference List'!$E:$E,0)))</f>
        <v/>
      </c>
      <c r="C525" s="298" t="str">
        <f>IF(LEN(A525)=0,"",INDEX('Smelter Reference List'!$C:$C,MATCH($A525,'Smelter Reference List'!$E:$E,0)))</f>
        <v/>
      </c>
      <c r="D525" s="292" t="str">
        <f ca="1">IF(ISERROR($S525),"",OFFSET('Smelter Reference List'!$C$4,$S525-4,0)&amp;"")</f>
        <v/>
      </c>
      <c r="E525" s="292" t="str">
        <f ca="1">IF(ISERROR($S525),"",OFFSET('Smelter Reference List'!$D$4,$S525-4,0)&amp;"")</f>
        <v/>
      </c>
      <c r="F525" s="292" t="str">
        <f ca="1">IF(ISERROR($S525),"",OFFSET('Smelter Reference List'!$E$4,$S525-4,0))</f>
        <v/>
      </c>
      <c r="G525" s="292" t="str">
        <f ca="1">IF(C525=$U$4,"Enter smelter details", IF(ISERROR($S525),"",OFFSET('Smelter Reference List'!$F$4,$S525-4,0)))</f>
        <v/>
      </c>
      <c r="H525" s="293" t="str">
        <f ca="1">IF(ISERROR($S525),"",OFFSET('Smelter Reference List'!$G$4,$S525-4,0))</f>
        <v/>
      </c>
      <c r="I525" s="294" t="str">
        <f ca="1">IF(ISERROR($S525),"",OFFSET('Smelter Reference List'!$H$4,$S525-4,0))</f>
        <v/>
      </c>
      <c r="J525" s="294" t="str">
        <f ca="1">IF(ISERROR($S525),"",OFFSET('Smelter Reference List'!$I$4,$S525-4,0))</f>
        <v/>
      </c>
      <c r="K525" s="295"/>
      <c r="L525" s="295"/>
      <c r="M525" s="295"/>
      <c r="N525" s="295"/>
      <c r="O525" s="295"/>
      <c r="P525" s="295"/>
      <c r="Q525" s="296"/>
      <c r="R525" s="227"/>
      <c r="S525" s="228" t="e">
        <f>IF(C525="",NA(),MATCH($B525&amp;$C525,'Smelter Reference List'!$J:$J,0))</f>
        <v>#N/A</v>
      </c>
      <c r="T525" s="229"/>
      <c r="U525" s="229">
        <f t="shared" ca="1" si="18"/>
        <v>0</v>
      </c>
      <c r="V525" s="229"/>
      <c r="W525" s="229"/>
      <c r="Y525" s="223" t="str">
        <f t="shared" si="19"/>
        <v/>
      </c>
    </row>
    <row r="526" spans="1:25" s="223" customFormat="1" ht="20.25">
      <c r="A526" s="291"/>
      <c r="B526" s="292" t="str">
        <f>IF(LEN(A526)=0,"",INDEX('Smelter Reference List'!$A:$A,MATCH($A526,'Smelter Reference List'!$E:$E,0)))</f>
        <v/>
      </c>
      <c r="C526" s="298" t="str">
        <f>IF(LEN(A526)=0,"",INDEX('Smelter Reference List'!$C:$C,MATCH($A526,'Smelter Reference List'!$E:$E,0)))</f>
        <v/>
      </c>
      <c r="D526" s="292" t="str">
        <f ca="1">IF(ISERROR($S526),"",OFFSET('Smelter Reference List'!$C$4,$S526-4,0)&amp;"")</f>
        <v/>
      </c>
      <c r="E526" s="292" t="str">
        <f ca="1">IF(ISERROR($S526),"",OFFSET('Smelter Reference List'!$D$4,$S526-4,0)&amp;"")</f>
        <v/>
      </c>
      <c r="F526" s="292" t="str">
        <f ca="1">IF(ISERROR($S526),"",OFFSET('Smelter Reference List'!$E$4,$S526-4,0))</f>
        <v/>
      </c>
      <c r="G526" s="292" t="str">
        <f ca="1">IF(C526=$U$4,"Enter smelter details", IF(ISERROR($S526),"",OFFSET('Smelter Reference List'!$F$4,$S526-4,0)))</f>
        <v/>
      </c>
      <c r="H526" s="293" t="str">
        <f ca="1">IF(ISERROR($S526),"",OFFSET('Smelter Reference List'!$G$4,$S526-4,0))</f>
        <v/>
      </c>
      <c r="I526" s="294" t="str">
        <f ca="1">IF(ISERROR($S526),"",OFFSET('Smelter Reference List'!$H$4,$S526-4,0))</f>
        <v/>
      </c>
      <c r="J526" s="294" t="str">
        <f ca="1">IF(ISERROR($S526),"",OFFSET('Smelter Reference List'!$I$4,$S526-4,0))</f>
        <v/>
      </c>
      <c r="K526" s="295"/>
      <c r="L526" s="295"/>
      <c r="M526" s="295"/>
      <c r="N526" s="295"/>
      <c r="O526" s="295"/>
      <c r="P526" s="295"/>
      <c r="Q526" s="296"/>
      <c r="R526" s="227"/>
      <c r="S526" s="228" t="e">
        <f>IF(C526="",NA(),MATCH($B526&amp;$C526,'Smelter Reference List'!$J:$J,0))</f>
        <v>#N/A</v>
      </c>
      <c r="T526" s="229"/>
      <c r="U526" s="229">
        <f t="shared" ca="1" si="18"/>
        <v>0</v>
      </c>
      <c r="V526" s="229"/>
      <c r="W526" s="229"/>
      <c r="Y526" s="223" t="str">
        <f t="shared" si="19"/>
        <v/>
      </c>
    </row>
    <row r="527" spans="1:25" s="223" customFormat="1" ht="20.25">
      <c r="A527" s="291"/>
      <c r="B527" s="292" t="str">
        <f>IF(LEN(A527)=0,"",INDEX('Smelter Reference List'!$A:$A,MATCH($A527,'Smelter Reference List'!$E:$E,0)))</f>
        <v/>
      </c>
      <c r="C527" s="298" t="str">
        <f>IF(LEN(A527)=0,"",INDEX('Smelter Reference List'!$C:$C,MATCH($A527,'Smelter Reference List'!$E:$E,0)))</f>
        <v/>
      </c>
      <c r="D527" s="292" t="str">
        <f ca="1">IF(ISERROR($S527),"",OFFSET('Smelter Reference List'!$C$4,$S527-4,0)&amp;"")</f>
        <v/>
      </c>
      <c r="E527" s="292" t="str">
        <f ca="1">IF(ISERROR($S527),"",OFFSET('Smelter Reference List'!$D$4,$S527-4,0)&amp;"")</f>
        <v/>
      </c>
      <c r="F527" s="292" t="str">
        <f ca="1">IF(ISERROR($S527),"",OFFSET('Smelter Reference List'!$E$4,$S527-4,0))</f>
        <v/>
      </c>
      <c r="G527" s="292" t="str">
        <f ca="1">IF(C527=$U$4,"Enter smelter details", IF(ISERROR($S527),"",OFFSET('Smelter Reference List'!$F$4,$S527-4,0)))</f>
        <v/>
      </c>
      <c r="H527" s="293" t="str">
        <f ca="1">IF(ISERROR($S527),"",OFFSET('Smelter Reference List'!$G$4,$S527-4,0))</f>
        <v/>
      </c>
      <c r="I527" s="294" t="str">
        <f ca="1">IF(ISERROR($S527),"",OFFSET('Smelter Reference List'!$H$4,$S527-4,0))</f>
        <v/>
      </c>
      <c r="J527" s="294" t="str">
        <f ca="1">IF(ISERROR($S527),"",OFFSET('Smelter Reference List'!$I$4,$S527-4,0))</f>
        <v/>
      </c>
      <c r="K527" s="295"/>
      <c r="L527" s="295"/>
      <c r="M527" s="295"/>
      <c r="N527" s="295"/>
      <c r="O527" s="295"/>
      <c r="P527" s="295"/>
      <c r="Q527" s="296"/>
      <c r="R527" s="227"/>
      <c r="S527" s="228" t="e">
        <f>IF(C527="",NA(),MATCH($B527&amp;$C527,'Smelter Reference List'!$J:$J,0))</f>
        <v>#N/A</v>
      </c>
      <c r="T527" s="229"/>
      <c r="U527" s="229">
        <f t="shared" ca="1" si="18"/>
        <v>0</v>
      </c>
      <c r="V527" s="229"/>
      <c r="W527" s="229"/>
      <c r="Y527" s="223" t="str">
        <f t="shared" si="19"/>
        <v/>
      </c>
    </row>
    <row r="528" spans="1:25" s="223" customFormat="1" ht="20.25">
      <c r="A528" s="291"/>
      <c r="B528" s="292" t="str">
        <f>IF(LEN(A528)=0,"",INDEX('Smelter Reference List'!$A:$A,MATCH($A528,'Smelter Reference List'!$E:$E,0)))</f>
        <v/>
      </c>
      <c r="C528" s="298" t="str">
        <f>IF(LEN(A528)=0,"",INDEX('Smelter Reference List'!$C:$C,MATCH($A528,'Smelter Reference List'!$E:$E,0)))</f>
        <v/>
      </c>
      <c r="D528" s="292" t="str">
        <f ca="1">IF(ISERROR($S528),"",OFFSET('Smelter Reference List'!$C$4,$S528-4,0)&amp;"")</f>
        <v/>
      </c>
      <c r="E528" s="292" t="str">
        <f ca="1">IF(ISERROR($S528),"",OFFSET('Smelter Reference List'!$D$4,$S528-4,0)&amp;"")</f>
        <v/>
      </c>
      <c r="F528" s="292" t="str">
        <f ca="1">IF(ISERROR($S528),"",OFFSET('Smelter Reference List'!$E$4,$S528-4,0))</f>
        <v/>
      </c>
      <c r="G528" s="292" t="str">
        <f ca="1">IF(C528=$U$4,"Enter smelter details", IF(ISERROR($S528),"",OFFSET('Smelter Reference List'!$F$4,$S528-4,0)))</f>
        <v/>
      </c>
      <c r="H528" s="293" t="str">
        <f ca="1">IF(ISERROR($S528),"",OFFSET('Smelter Reference List'!$G$4,$S528-4,0))</f>
        <v/>
      </c>
      <c r="I528" s="294" t="str">
        <f ca="1">IF(ISERROR($S528),"",OFFSET('Smelter Reference List'!$H$4,$S528-4,0))</f>
        <v/>
      </c>
      <c r="J528" s="294" t="str">
        <f ca="1">IF(ISERROR($S528),"",OFFSET('Smelter Reference List'!$I$4,$S528-4,0))</f>
        <v/>
      </c>
      <c r="K528" s="295"/>
      <c r="L528" s="295"/>
      <c r="M528" s="295"/>
      <c r="N528" s="295"/>
      <c r="O528" s="295"/>
      <c r="P528" s="295"/>
      <c r="Q528" s="296"/>
      <c r="R528" s="227"/>
      <c r="S528" s="228" t="e">
        <f>IF(C528="",NA(),MATCH($B528&amp;$C528,'Smelter Reference List'!$J:$J,0))</f>
        <v>#N/A</v>
      </c>
      <c r="T528" s="229"/>
      <c r="U528" s="229">
        <f t="shared" ca="1" si="18"/>
        <v>0</v>
      </c>
      <c r="V528" s="229"/>
      <c r="W528" s="229"/>
      <c r="Y528" s="223" t="str">
        <f t="shared" si="19"/>
        <v/>
      </c>
    </row>
    <row r="529" spans="1:25" s="223" customFormat="1" ht="20.25">
      <c r="A529" s="291"/>
      <c r="B529" s="292" t="str">
        <f>IF(LEN(A529)=0,"",INDEX('Smelter Reference List'!$A:$A,MATCH($A529,'Smelter Reference List'!$E:$E,0)))</f>
        <v/>
      </c>
      <c r="C529" s="298" t="str">
        <f>IF(LEN(A529)=0,"",INDEX('Smelter Reference List'!$C:$C,MATCH($A529,'Smelter Reference List'!$E:$E,0)))</f>
        <v/>
      </c>
      <c r="D529" s="292" t="str">
        <f ca="1">IF(ISERROR($S529),"",OFFSET('Smelter Reference List'!$C$4,$S529-4,0)&amp;"")</f>
        <v/>
      </c>
      <c r="E529" s="292" t="str">
        <f ca="1">IF(ISERROR($S529),"",OFFSET('Smelter Reference List'!$D$4,$S529-4,0)&amp;"")</f>
        <v/>
      </c>
      <c r="F529" s="292" t="str">
        <f ca="1">IF(ISERROR($S529),"",OFFSET('Smelter Reference List'!$E$4,$S529-4,0))</f>
        <v/>
      </c>
      <c r="G529" s="292" t="str">
        <f ca="1">IF(C529=$U$4,"Enter smelter details", IF(ISERROR($S529),"",OFFSET('Smelter Reference List'!$F$4,$S529-4,0)))</f>
        <v/>
      </c>
      <c r="H529" s="293" t="str">
        <f ca="1">IF(ISERROR($S529),"",OFFSET('Smelter Reference List'!$G$4,$S529-4,0))</f>
        <v/>
      </c>
      <c r="I529" s="294" t="str">
        <f ca="1">IF(ISERROR($S529),"",OFFSET('Smelter Reference List'!$H$4,$S529-4,0))</f>
        <v/>
      </c>
      <c r="J529" s="294" t="str">
        <f ca="1">IF(ISERROR($S529),"",OFFSET('Smelter Reference List'!$I$4,$S529-4,0))</f>
        <v/>
      </c>
      <c r="K529" s="295"/>
      <c r="L529" s="295"/>
      <c r="M529" s="295"/>
      <c r="N529" s="295"/>
      <c r="O529" s="295"/>
      <c r="P529" s="295"/>
      <c r="Q529" s="296"/>
      <c r="R529" s="227"/>
      <c r="S529" s="228" t="e">
        <f>IF(C529="",NA(),MATCH($B529&amp;$C529,'Smelter Reference List'!$J:$J,0))</f>
        <v>#N/A</v>
      </c>
      <c r="T529" s="229"/>
      <c r="U529" s="229">
        <f t="shared" ca="1" si="18"/>
        <v>0</v>
      </c>
      <c r="V529" s="229"/>
      <c r="W529" s="229"/>
      <c r="Y529" s="223" t="str">
        <f t="shared" si="19"/>
        <v/>
      </c>
    </row>
    <row r="530" spans="1:25" s="223" customFormat="1" ht="20.25">
      <c r="A530" s="291"/>
      <c r="B530" s="292" t="str">
        <f>IF(LEN(A530)=0,"",INDEX('Smelter Reference List'!$A:$A,MATCH($A530,'Smelter Reference List'!$E:$E,0)))</f>
        <v/>
      </c>
      <c r="C530" s="298" t="str">
        <f>IF(LEN(A530)=0,"",INDEX('Smelter Reference List'!$C:$C,MATCH($A530,'Smelter Reference List'!$E:$E,0)))</f>
        <v/>
      </c>
      <c r="D530" s="292" t="str">
        <f ca="1">IF(ISERROR($S530),"",OFFSET('Smelter Reference List'!$C$4,$S530-4,0)&amp;"")</f>
        <v/>
      </c>
      <c r="E530" s="292" t="str">
        <f ca="1">IF(ISERROR($S530),"",OFFSET('Smelter Reference List'!$D$4,$S530-4,0)&amp;"")</f>
        <v/>
      </c>
      <c r="F530" s="292" t="str">
        <f ca="1">IF(ISERROR($S530),"",OFFSET('Smelter Reference List'!$E$4,$S530-4,0))</f>
        <v/>
      </c>
      <c r="G530" s="292" t="str">
        <f ca="1">IF(C530=$U$4,"Enter smelter details", IF(ISERROR($S530),"",OFFSET('Smelter Reference List'!$F$4,$S530-4,0)))</f>
        <v/>
      </c>
      <c r="H530" s="293" t="str">
        <f ca="1">IF(ISERROR($S530),"",OFFSET('Smelter Reference List'!$G$4,$S530-4,0))</f>
        <v/>
      </c>
      <c r="I530" s="294" t="str">
        <f ca="1">IF(ISERROR($S530),"",OFFSET('Smelter Reference List'!$H$4,$S530-4,0))</f>
        <v/>
      </c>
      <c r="J530" s="294" t="str">
        <f ca="1">IF(ISERROR($S530),"",OFFSET('Smelter Reference List'!$I$4,$S530-4,0))</f>
        <v/>
      </c>
      <c r="K530" s="295"/>
      <c r="L530" s="295"/>
      <c r="M530" s="295"/>
      <c r="N530" s="295"/>
      <c r="O530" s="295"/>
      <c r="P530" s="295"/>
      <c r="Q530" s="296"/>
      <c r="R530" s="227"/>
      <c r="S530" s="228" t="e">
        <f>IF(C530="",NA(),MATCH($B530&amp;$C530,'Smelter Reference List'!$J:$J,0))</f>
        <v>#N/A</v>
      </c>
      <c r="T530" s="229"/>
      <c r="U530" s="229">
        <f t="shared" ca="1" si="18"/>
        <v>0</v>
      </c>
      <c r="V530" s="229"/>
      <c r="W530" s="229"/>
      <c r="Y530" s="223" t="str">
        <f t="shared" si="19"/>
        <v/>
      </c>
    </row>
    <row r="531" spans="1:25" s="223" customFormat="1" ht="20.25">
      <c r="A531" s="291"/>
      <c r="B531" s="292" t="str">
        <f>IF(LEN(A531)=0,"",INDEX('Smelter Reference List'!$A:$A,MATCH($A531,'Smelter Reference List'!$E:$E,0)))</f>
        <v/>
      </c>
      <c r="C531" s="298" t="str">
        <f>IF(LEN(A531)=0,"",INDEX('Smelter Reference List'!$C:$C,MATCH($A531,'Smelter Reference List'!$E:$E,0)))</f>
        <v/>
      </c>
      <c r="D531" s="292" t="str">
        <f ca="1">IF(ISERROR($S531),"",OFFSET('Smelter Reference List'!$C$4,$S531-4,0)&amp;"")</f>
        <v/>
      </c>
      <c r="E531" s="292" t="str">
        <f ca="1">IF(ISERROR($S531),"",OFFSET('Smelter Reference List'!$D$4,$S531-4,0)&amp;"")</f>
        <v/>
      </c>
      <c r="F531" s="292" t="str">
        <f ca="1">IF(ISERROR($S531),"",OFFSET('Smelter Reference List'!$E$4,$S531-4,0))</f>
        <v/>
      </c>
      <c r="G531" s="292" t="str">
        <f ca="1">IF(C531=$U$4,"Enter smelter details", IF(ISERROR($S531),"",OFFSET('Smelter Reference List'!$F$4,$S531-4,0)))</f>
        <v/>
      </c>
      <c r="H531" s="293" t="str">
        <f ca="1">IF(ISERROR($S531),"",OFFSET('Smelter Reference List'!$G$4,$S531-4,0))</f>
        <v/>
      </c>
      <c r="I531" s="294" t="str">
        <f ca="1">IF(ISERROR($S531),"",OFFSET('Smelter Reference List'!$H$4,$S531-4,0))</f>
        <v/>
      </c>
      <c r="J531" s="294" t="str">
        <f ca="1">IF(ISERROR($S531),"",OFFSET('Smelter Reference List'!$I$4,$S531-4,0))</f>
        <v/>
      </c>
      <c r="K531" s="295"/>
      <c r="L531" s="295"/>
      <c r="M531" s="295"/>
      <c r="N531" s="295"/>
      <c r="O531" s="295"/>
      <c r="P531" s="295"/>
      <c r="Q531" s="296"/>
      <c r="R531" s="227"/>
      <c r="S531" s="228" t="e">
        <f>IF(C531="",NA(),MATCH($B531&amp;$C531,'Smelter Reference List'!$J:$J,0))</f>
        <v>#N/A</v>
      </c>
      <c r="T531" s="229"/>
      <c r="U531" s="229">
        <f t="shared" ca="1" si="18"/>
        <v>0</v>
      </c>
      <c r="V531" s="229"/>
      <c r="W531" s="229"/>
      <c r="Y531" s="223" t="str">
        <f t="shared" si="19"/>
        <v/>
      </c>
    </row>
    <row r="532" spans="1:25" s="223" customFormat="1" ht="20.25">
      <c r="A532" s="291"/>
      <c r="B532" s="292" t="str">
        <f>IF(LEN(A532)=0,"",INDEX('Smelter Reference List'!$A:$A,MATCH($A532,'Smelter Reference List'!$E:$E,0)))</f>
        <v/>
      </c>
      <c r="C532" s="298" t="str">
        <f>IF(LEN(A532)=0,"",INDEX('Smelter Reference List'!$C:$C,MATCH($A532,'Smelter Reference List'!$E:$E,0)))</f>
        <v/>
      </c>
      <c r="D532" s="292" t="str">
        <f ca="1">IF(ISERROR($S532),"",OFFSET('Smelter Reference List'!$C$4,$S532-4,0)&amp;"")</f>
        <v/>
      </c>
      <c r="E532" s="292" t="str">
        <f ca="1">IF(ISERROR($S532),"",OFFSET('Smelter Reference List'!$D$4,$S532-4,0)&amp;"")</f>
        <v/>
      </c>
      <c r="F532" s="292" t="str">
        <f ca="1">IF(ISERROR($S532),"",OFFSET('Smelter Reference List'!$E$4,$S532-4,0))</f>
        <v/>
      </c>
      <c r="G532" s="292" t="str">
        <f ca="1">IF(C532=$U$4,"Enter smelter details", IF(ISERROR($S532),"",OFFSET('Smelter Reference List'!$F$4,$S532-4,0)))</f>
        <v/>
      </c>
      <c r="H532" s="293" t="str">
        <f ca="1">IF(ISERROR($S532),"",OFFSET('Smelter Reference List'!$G$4,$S532-4,0))</f>
        <v/>
      </c>
      <c r="I532" s="294" t="str">
        <f ca="1">IF(ISERROR($S532),"",OFFSET('Smelter Reference List'!$H$4,$S532-4,0))</f>
        <v/>
      </c>
      <c r="J532" s="294" t="str">
        <f ca="1">IF(ISERROR($S532),"",OFFSET('Smelter Reference List'!$I$4,$S532-4,0))</f>
        <v/>
      </c>
      <c r="K532" s="295"/>
      <c r="L532" s="295"/>
      <c r="M532" s="295"/>
      <c r="N532" s="295"/>
      <c r="O532" s="295"/>
      <c r="P532" s="295"/>
      <c r="Q532" s="296"/>
      <c r="R532" s="227"/>
      <c r="S532" s="228" t="e">
        <f>IF(C532="",NA(),MATCH($B532&amp;$C532,'Smelter Reference List'!$J:$J,0))</f>
        <v>#N/A</v>
      </c>
      <c r="T532" s="229"/>
      <c r="U532" s="229">
        <f t="shared" ca="1" si="18"/>
        <v>0</v>
      </c>
      <c r="V532" s="229"/>
      <c r="W532" s="229"/>
      <c r="Y532" s="223" t="str">
        <f t="shared" si="19"/>
        <v/>
      </c>
    </row>
    <row r="533" spans="1:25" s="223" customFormat="1" ht="20.25">
      <c r="A533" s="291"/>
      <c r="B533" s="292" t="str">
        <f>IF(LEN(A533)=0,"",INDEX('Smelter Reference List'!$A:$A,MATCH($A533,'Smelter Reference List'!$E:$E,0)))</f>
        <v/>
      </c>
      <c r="C533" s="298" t="str">
        <f>IF(LEN(A533)=0,"",INDEX('Smelter Reference List'!$C:$C,MATCH($A533,'Smelter Reference List'!$E:$E,0)))</f>
        <v/>
      </c>
      <c r="D533" s="292" t="str">
        <f ca="1">IF(ISERROR($S533),"",OFFSET('Smelter Reference List'!$C$4,$S533-4,0)&amp;"")</f>
        <v/>
      </c>
      <c r="E533" s="292" t="str">
        <f ca="1">IF(ISERROR($S533),"",OFFSET('Smelter Reference List'!$D$4,$S533-4,0)&amp;"")</f>
        <v/>
      </c>
      <c r="F533" s="292" t="str">
        <f ca="1">IF(ISERROR($S533),"",OFFSET('Smelter Reference List'!$E$4,$S533-4,0))</f>
        <v/>
      </c>
      <c r="G533" s="292" t="str">
        <f ca="1">IF(C533=$U$4,"Enter smelter details", IF(ISERROR($S533),"",OFFSET('Smelter Reference List'!$F$4,$S533-4,0)))</f>
        <v/>
      </c>
      <c r="H533" s="293" t="str">
        <f ca="1">IF(ISERROR($S533),"",OFFSET('Smelter Reference List'!$G$4,$S533-4,0))</f>
        <v/>
      </c>
      <c r="I533" s="294" t="str">
        <f ca="1">IF(ISERROR($S533),"",OFFSET('Smelter Reference List'!$H$4,$S533-4,0))</f>
        <v/>
      </c>
      <c r="J533" s="294" t="str">
        <f ca="1">IF(ISERROR($S533),"",OFFSET('Smelter Reference List'!$I$4,$S533-4,0))</f>
        <v/>
      </c>
      <c r="K533" s="295"/>
      <c r="L533" s="295"/>
      <c r="M533" s="295"/>
      <c r="N533" s="295"/>
      <c r="O533" s="295"/>
      <c r="P533" s="295"/>
      <c r="Q533" s="296"/>
      <c r="R533" s="227"/>
      <c r="S533" s="228" t="e">
        <f>IF(C533="",NA(),MATCH($B533&amp;$C533,'Smelter Reference List'!$J:$J,0))</f>
        <v>#N/A</v>
      </c>
      <c r="T533" s="229"/>
      <c r="U533" s="229">
        <f t="shared" ca="1" si="18"/>
        <v>0</v>
      </c>
      <c r="V533" s="229"/>
      <c r="W533" s="229"/>
      <c r="Y533" s="223" t="str">
        <f t="shared" si="19"/>
        <v/>
      </c>
    </row>
    <row r="534" spans="1:25" s="223" customFormat="1" ht="20.25">
      <c r="A534" s="291"/>
      <c r="B534" s="292" t="str">
        <f>IF(LEN(A534)=0,"",INDEX('Smelter Reference List'!$A:$A,MATCH($A534,'Smelter Reference List'!$E:$E,0)))</f>
        <v/>
      </c>
      <c r="C534" s="298" t="str">
        <f>IF(LEN(A534)=0,"",INDEX('Smelter Reference List'!$C:$C,MATCH($A534,'Smelter Reference List'!$E:$E,0)))</f>
        <v/>
      </c>
      <c r="D534" s="292" t="str">
        <f ca="1">IF(ISERROR($S534),"",OFFSET('Smelter Reference List'!$C$4,$S534-4,0)&amp;"")</f>
        <v/>
      </c>
      <c r="E534" s="292" t="str">
        <f ca="1">IF(ISERROR($S534),"",OFFSET('Smelter Reference List'!$D$4,$S534-4,0)&amp;"")</f>
        <v/>
      </c>
      <c r="F534" s="292" t="str">
        <f ca="1">IF(ISERROR($S534),"",OFFSET('Smelter Reference List'!$E$4,$S534-4,0))</f>
        <v/>
      </c>
      <c r="G534" s="292" t="str">
        <f ca="1">IF(C534=$U$4,"Enter smelter details", IF(ISERROR($S534),"",OFFSET('Smelter Reference List'!$F$4,$S534-4,0)))</f>
        <v/>
      </c>
      <c r="H534" s="293" t="str">
        <f ca="1">IF(ISERROR($S534),"",OFFSET('Smelter Reference List'!$G$4,$S534-4,0))</f>
        <v/>
      </c>
      <c r="I534" s="294" t="str">
        <f ca="1">IF(ISERROR($S534),"",OFFSET('Smelter Reference List'!$H$4,$S534-4,0))</f>
        <v/>
      </c>
      <c r="J534" s="294" t="str">
        <f ca="1">IF(ISERROR($S534),"",OFFSET('Smelter Reference List'!$I$4,$S534-4,0))</f>
        <v/>
      </c>
      <c r="K534" s="295"/>
      <c r="L534" s="295"/>
      <c r="M534" s="295"/>
      <c r="N534" s="295"/>
      <c r="O534" s="295"/>
      <c r="P534" s="295"/>
      <c r="Q534" s="296"/>
      <c r="R534" s="227"/>
      <c r="S534" s="228" t="e">
        <f>IF(C534="",NA(),MATCH($B534&amp;$C534,'Smelter Reference List'!$J:$J,0))</f>
        <v>#N/A</v>
      </c>
      <c r="T534" s="229"/>
      <c r="U534" s="229">
        <f t="shared" ca="1" si="18"/>
        <v>0</v>
      </c>
      <c r="V534" s="229"/>
      <c r="W534" s="229"/>
      <c r="Y534" s="223" t="str">
        <f t="shared" si="19"/>
        <v/>
      </c>
    </row>
    <row r="535" spans="1:25" s="223" customFormat="1" ht="20.25">
      <c r="A535" s="291"/>
      <c r="B535" s="292" t="str">
        <f>IF(LEN(A535)=0,"",INDEX('Smelter Reference List'!$A:$A,MATCH($A535,'Smelter Reference List'!$E:$E,0)))</f>
        <v/>
      </c>
      <c r="C535" s="298" t="str">
        <f>IF(LEN(A535)=0,"",INDEX('Smelter Reference List'!$C:$C,MATCH($A535,'Smelter Reference List'!$E:$E,0)))</f>
        <v/>
      </c>
      <c r="D535" s="292" t="str">
        <f ca="1">IF(ISERROR($S535),"",OFFSET('Smelter Reference List'!$C$4,$S535-4,0)&amp;"")</f>
        <v/>
      </c>
      <c r="E535" s="292" t="str">
        <f ca="1">IF(ISERROR($S535),"",OFFSET('Smelter Reference List'!$D$4,$S535-4,0)&amp;"")</f>
        <v/>
      </c>
      <c r="F535" s="292" t="str">
        <f ca="1">IF(ISERROR($S535),"",OFFSET('Smelter Reference List'!$E$4,$S535-4,0))</f>
        <v/>
      </c>
      <c r="G535" s="292" t="str">
        <f ca="1">IF(C535=$U$4,"Enter smelter details", IF(ISERROR($S535),"",OFFSET('Smelter Reference List'!$F$4,$S535-4,0)))</f>
        <v/>
      </c>
      <c r="H535" s="293" t="str">
        <f ca="1">IF(ISERROR($S535),"",OFFSET('Smelter Reference List'!$G$4,$S535-4,0))</f>
        <v/>
      </c>
      <c r="I535" s="294" t="str">
        <f ca="1">IF(ISERROR($S535),"",OFFSET('Smelter Reference List'!$H$4,$S535-4,0))</f>
        <v/>
      </c>
      <c r="J535" s="294" t="str">
        <f ca="1">IF(ISERROR($S535),"",OFFSET('Smelter Reference List'!$I$4,$S535-4,0))</f>
        <v/>
      </c>
      <c r="K535" s="295"/>
      <c r="L535" s="295"/>
      <c r="M535" s="295"/>
      <c r="N535" s="295"/>
      <c r="O535" s="295"/>
      <c r="P535" s="295"/>
      <c r="Q535" s="296"/>
      <c r="R535" s="227"/>
      <c r="S535" s="228" t="e">
        <f>IF(C535="",NA(),MATCH($B535&amp;$C535,'Smelter Reference List'!$J:$J,0))</f>
        <v>#N/A</v>
      </c>
      <c r="T535" s="229"/>
      <c r="U535" s="229">
        <f t="shared" ca="1" si="18"/>
        <v>0</v>
      </c>
      <c r="V535" s="229"/>
      <c r="W535" s="229"/>
      <c r="Y535" s="223" t="str">
        <f t="shared" si="19"/>
        <v/>
      </c>
    </row>
    <row r="536" spans="1:25" s="223" customFormat="1" ht="20.25">
      <c r="A536" s="291"/>
      <c r="B536" s="292" t="str">
        <f>IF(LEN(A536)=0,"",INDEX('Smelter Reference List'!$A:$A,MATCH($A536,'Smelter Reference List'!$E:$E,0)))</f>
        <v/>
      </c>
      <c r="C536" s="298" t="str">
        <f>IF(LEN(A536)=0,"",INDEX('Smelter Reference List'!$C:$C,MATCH($A536,'Smelter Reference List'!$E:$E,0)))</f>
        <v/>
      </c>
      <c r="D536" s="292" t="str">
        <f ca="1">IF(ISERROR($S536),"",OFFSET('Smelter Reference List'!$C$4,$S536-4,0)&amp;"")</f>
        <v/>
      </c>
      <c r="E536" s="292" t="str">
        <f ca="1">IF(ISERROR($S536),"",OFFSET('Smelter Reference List'!$D$4,$S536-4,0)&amp;"")</f>
        <v/>
      </c>
      <c r="F536" s="292" t="str">
        <f ca="1">IF(ISERROR($S536),"",OFFSET('Smelter Reference List'!$E$4,$S536-4,0))</f>
        <v/>
      </c>
      <c r="G536" s="292" t="str">
        <f ca="1">IF(C536=$U$4,"Enter smelter details", IF(ISERROR($S536),"",OFFSET('Smelter Reference List'!$F$4,$S536-4,0)))</f>
        <v/>
      </c>
      <c r="H536" s="293" t="str">
        <f ca="1">IF(ISERROR($S536),"",OFFSET('Smelter Reference List'!$G$4,$S536-4,0))</f>
        <v/>
      </c>
      <c r="I536" s="294" t="str">
        <f ca="1">IF(ISERROR($S536),"",OFFSET('Smelter Reference List'!$H$4,$S536-4,0))</f>
        <v/>
      </c>
      <c r="J536" s="294" t="str">
        <f ca="1">IF(ISERROR($S536),"",OFFSET('Smelter Reference List'!$I$4,$S536-4,0))</f>
        <v/>
      </c>
      <c r="K536" s="295"/>
      <c r="L536" s="295"/>
      <c r="M536" s="295"/>
      <c r="N536" s="295"/>
      <c r="O536" s="295"/>
      <c r="P536" s="295"/>
      <c r="Q536" s="296"/>
      <c r="R536" s="227"/>
      <c r="S536" s="228" t="e">
        <f>IF(C536="",NA(),MATCH($B536&amp;$C536,'Smelter Reference List'!$J:$J,0))</f>
        <v>#N/A</v>
      </c>
      <c r="T536" s="229"/>
      <c r="U536" s="229">
        <f t="shared" ca="1" si="18"/>
        <v>0</v>
      </c>
      <c r="V536" s="229"/>
      <c r="W536" s="229"/>
      <c r="Y536" s="223" t="str">
        <f t="shared" si="19"/>
        <v/>
      </c>
    </row>
    <row r="537" spans="1:25" s="223" customFormat="1" ht="20.25">
      <c r="A537" s="291"/>
      <c r="B537" s="292" t="str">
        <f>IF(LEN(A537)=0,"",INDEX('Smelter Reference List'!$A:$A,MATCH($A537,'Smelter Reference List'!$E:$E,0)))</f>
        <v/>
      </c>
      <c r="C537" s="298" t="str">
        <f>IF(LEN(A537)=0,"",INDEX('Smelter Reference List'!$C:$C,MATCH($A537,'Smelter Reference List'!$E:$E,0)))</f>
        <v/>
      </c>
      <c r="D537" s="292" t="str">
        <f ca="1">IF(ISERROR($S537),"",OFFSET('Smelter Reference List'!$C$4,$S537-4,0)&amp;"")</f>
        <v/>
      </c>
      <c r="E537" s="292" t="str">
        <f ca="1">IF(ISERROR($S537),"",OFFSET('Smelter Reference List'!$D$4,$S537-4,0)&amp;"")</f>
        <v/>
      </c>
      <c r="F537" s="292" t="str">
        <f ca="1">IF(ISERROR($S537),"",OFFSET('Smelter Reference List'!$E$4,$S537-4,0))</f>
        <v/>
      </c>
      <c r="G537" s="292" t="str">
        <f ca="1">IF(C537=$U$4,"Enter smelter details", IF(ISERROR($S537),"",OFFSET('Smelter Reference List'!$F$4,$S537-4,0)))</f>
        <v/>
      </c>
      <c r="H537" s="293" t="str">
        <f ca="1">IF(ISERROR($S537),"",OFFSET('Smelter Reference List'!$G$4,$S537-4,0))</f>
        <v/>
      </c>
      <c r="I537" s="294" t="str">
        <f ca="1">IF(ISERROR($S537),"",OFFSET('Smelter Reference List'!$H$4,$S537-4,0))</f>
        <v/>
      </c>
      <c r="J537" s="294" t="str">
        <f ca="1">IF(ISERROR($S537),"",OFFSET('Smelter Reference List'!$I$4,$S537-4,0))</f>
        <v/>
      </c>
      <c r="K537" s="295"/>
      <c r="L537" s="295"/>
      <c r="M537" s="295"/>
      <c r="N537" s="295"/>
      <c r="O537" s="295"/>
      <c r="P537" s="295"/>
      <c r="Q537" s="296"/>
      <c r="R537" s="227"/>
      <c r="S537" s="228" t="e">
        <f>IF(C537="",NA(),MATCH($B537&amp;$C537,'Smelter Reference List'!$J:$J,0))</f>
        <v>#N/A</v>
      </c>
      <c r="T537" s="229"/>
      <c r="U537" s="229">
        <f t="shared" ca="1" si="18"/>
        <v>0</v>
      </c>
      <c r="V537" s="229"/>
      <c r="W537" s="229"/>
      <c r="Y537" s="223" t="str">
        <f t="shared" si="19"/>
        <v/>
      </c>
    </row>
    <row r="538" spans="1:25" s="223" customFormat="1" ht="20.25">
      <c r="A538" s="291"/>
      <c r="B538" s="292" t="str">
        <f>IF(LEN(A538)=0,"",INDEX('Smelter Reference List'!$A:$A,MATCH($A538,'Smelter Reference List'!$E:$E,0)))</f>
        <v/>
      </c>
      <c r="C538" s="298" t="str">
        <f>IF(LEN(A538)=0,"",INDEX('Smelter Reference List'!$C:$C,MATCH($A538,'Smelter Reference List'!$E:$E,0)))</f>
        <v/>
      </c>
      <c r="D538" s="292" t="str">
        <f ca="1">IF(ISERROR($S538),"",OFFSET('Smelter Reference List'!$C$4,$S538-4,0)&amp;"")</f>
        <v/>
      </c>
      <c r="E538" s="292" t="str">
        <f ca="1">IF(ISERROR($S538),"",OFFSET('Smelter Reference List'!$D$4,$S538-4,0)&amp;"")</f>
        <v/>
      </c>
      <c r="F538" s="292" t="str">
        <f ca="1">IF(ISERROR($S538),"",OFFSET('Smelter Reference List'!$E$4,$S538-4,0))</f>
        <v/>
      </c>
      <c r="G538" s="292" t="str">
        <f ca="1">IF(C538=$U$4,"Enter smelter details", IF(ISERROR($S538),"",OFFSET('Smelter Reference List'!$F$4,$S538-4,0)))</f>
        <v/>
      </c>
      <c r="H538" s="293" t="str">
        <f ca="1">IF(ISERROR($S538),"",OFFSET('Smelter Reference List'!$G$4,$S538-4,0))</f>
        <v/>
      </c>
      <c r="I538" s="294" t="str">
        <f ca="1">IF(ISERROR($S538),"",OFFSET('Smelter Reference List'!$H$4,$S538-4,0))</f>
        <v/>
      </c>
      <c r="J538" s="294" t="str">
        <f ca="1">IF(ISERROR($S538),"",OFFSET('Smelter Reference List'!$I$4,$S538-4,0))</f>
        <v/>
      </c>
      <c r="K538" s="295"/>
      <c r="L538" s="295"/>
      <c r="M538" s="295"/>
      <c r="N538" s="295"/>
      <c r="O538" s="295"/>
      <c r="P538" s="295"/>
      <c r="Q538" s="296"/>
      <c r="R538" s="227"/>
      <c r="S538" s="228" t="e">
        <f>IF(C538="",NA(),MATCH($B538&amp;$C538,'Smelter Reference List'!$J:$J,0))</f>
        <v>#N/A</v>
      </c>
      <c r="T538" s="229"/>
      <c r="U538" s="229">
        <f t="shared" ca="1" si="18"/>
        <v>0</v>
      </c>
      <c r="V538" s="229"/>
      <c r="W538" s="229"/>
      <c r="Y538" s="223" t="str">
        <f t="shared" si="19"/>
        <v/>
      </c>
    </row>
    <row r="539" spans="1:25" s="223" customFormat="1" ht="20.25">
      <c r="A539" s="291"/>
      <c r="B539" s="292" t="str">
        <f>IF(LEN(A539)=0,"",INDEX('Smelter Reference List'!$A:$A,MATCH($A539,'Smelter Reference List'!$E:$E,0)))</f>
        <v/>
      </c>
      <c r="C539" s="298" t="str">
        <f>IF(LEN(A539)=0,"",INDEX('Smelter Reference List'!$C:$C,MATCH($A539,'Smelter Reference List'!$E:$E,0)))</f>
        <v/>
      </c>
      <c r="D539" s="292" t="str">
        <f ca="1">IF(ISERROR($S539),"",OFFSET('Smelter Reference List'!$C$4,$S539-4,0)&amp;"")</f>
        <v/>
      </c>
      <c r="E539" s="292" t="str">
        <f ca="1">IF(ISERROR($S539),"",OFFSET('Smelter Reference List'!$D$4,$S539-4,0)&amp;"")</f>
        <v/>
      </c>
      <c r="F539" s="292" t="str">
        <f ca="1">IF(ISERROR($S539),"",OFFSET('Smelter Reference List'!$E$4,$S539-4,0))</f>
        <v/>
      </c>
      <c r="G539" s="292" t="str">
        <f ca="1">IF(C539=$U$4,"Enter smelter details", IF(ISERROR($S539),"",OFFSET('Smelter Reference List'!$F$4,$S539-4,0)))</f>
        <v/>
      </c>
      <c r="H539" s="293" t="str">
        <f ca="1">IF(ISERROR($S539),"",OFFSET('Smelter Reference List'!$G$4,$S539-4,0))</f>
        <v/>
      </c>
      <c r="I539" s="294" t="str">
        <f ca="1">IF(ISERROR($S539),"",OFFSET('Smelter Reference List'!$H$4,$S539-4,0))</f>
        <v/>
      </c>
      <c r="J539" s="294" t="str">
        <f ca="1">IF(ISERROR($S539),"",OFFSET('Smelter Reference List'!$I$4,$S539-4,0))</f>
        <v/>
      </c>
      <c r="K539" s="295"/>
      <c r="L539" s="295"/>
      <c r="M539" s="295"/>
      <c r="N539" s="295"/>
      <c r="O539" s="295"/>
      <c r="P539" s="295"/>
      <c r="Q539" s="296"/>
      <c r="R539" s="227"/>
      <c r="S539" s="228" t="e">
        <f>IF(C539="",NA(),MATCH($B539&amp;$C539,'Smelter Reference List'!$J:$J,0))</f>
        <v>#N/A</v>
      </c>
      <c r="T539" s="229"/>
      <c r="U539" s="229">
        <f t="shared" ca="1" si="18"/>
        <v>0</v>
      </c>
      <c r="V539" s="229"/>
      <c r="W539" s="229"/>
      <c r="Y539" s="223" t="str">
        <f t="shared" si="19"/>
        <v/>
      </c>
    </row>
    <row r="540" spans="1:25" s="223" customFormat="1" ht="20.25">
      <c r="A540" s="291"/>
      <c r="B540" s="292" t="str">
        <f>IF(LEN(A540)=0,"",INDEX('Smelter Reference List'!$A:$A,MATCH($A540,'Smelter Reference List'!$E:$E,0)))</f>
        <v/>
      </c>
      <c r="C540" s="298" t="str">
        <f>IF(LEN(A540)=0,"",INDEX('Smelter Reference List'!$C:$C,MATCH($A540,'Smelter Reference List'!$E:$E,0)))</f>
        <v/>
      </c>
      <c r="D540" s="292" t="str">
        <f ca="1">IF(ISERROR($S540),"",OFFSET('Smelter Reference List'!$C$4,$S540-4,0)&amp;"")</f>
        <v/>
      </c>
      <c r="E540" s="292" t="str">
        <f ca="1">IF(ISERROR($S540),"",OFFSET('Smelter Reference List'!$D$4,$S540-4,0)&amp;"")</f>
        <v/>
      </c>
      <c r="F540" s="292" t="str">
        <f ca="1">IF(ISERROR($S540),"",OFFSET('Smelter Reference List'!$E$4,$S540-4,0))</f>
        <v/>
      </c>
      <c r="G540" s="292" t="str">
        <f ca="1">IF(C540=$U$4,"Enter smelter details", IF(ISERROR($S540),"",OFFSET('Smelter Reference List'!$F$4,$S540-4,0)))</f>
        <v/>
      </c>
      <c r="H540" s="293" t="str">
        <f ca="1">IF(ISERROR($S540),"",OFFSET('Smelter Reference List'!$G$4,$S540-4,0))</f>
        <v/>
      </c>
      <c r="I540" s="294" t="str">
        <f ca="1">IF(ISERROR($S540),"",OFFSET('Smelter Reference List'!$H$4,$S540-4,0))</f>
        <v/>
      </c>
      <c r="J540" s="294" t="str">
        <f ca="1">IF(ISERROR($S540),"",OFFSET('Smelter Reference List'!$I$4,$S540-4,0))</f>
        <v/>
      </c>
      <c r="K540" s="295"/>
      <c r="L540" s="295"/>
      <c r="M540" s="295"/>
      <c r="N540" s="295"/>
      <c r="O540" s="295"/>
      <c r="P540" s="295"/>
      <c r="Q540" s="296"/>
      <c r="R540" s="227"/>
      <c r="S540" s="228" t="e">
        <f>IF(C540="",NA(),MATCH($B540&amp;$C540,'Smelter Reference List'!$J:$J,0))</f>
        <v>#N/A</v>
      </c>
      <c r="T540" s="229"/>
      <c r="U540" s="229">
        <f t="shared" ca="1" si="18"/>
        <v>0</v>
      </c>
      <c r="V540" s="229"/>
      <c r="W540" s="229"/>
      <c r="Y540" s="223" t="str">
        <f t="shared" si="19"/>
        <v/>
      </c>
    </row>
    <row r="541" spans="1:25" s="223" customFormat="1" ht="20.25">
      <c r="A541" s="291"/>
      <c r="B541" s="292" t="str">
        <f>IF(LEN(A541)=0,"",INDEX('Smelter Reference List'!$A:$A,MATCH($A541,'Smelter Reference List'!$E:$E,0)))</f>
        <v/>
      </c>
      <c r="C541" s="298" t="str">
        <f>IF(LEN(A541)=0,"",INDEX('Smelter Reference List'!$C:$C,MATCH($A541,'Smelter Reference List'!$E:$E,0)))</f>
        <v/>
      </c>
      <c r="D541" s="292" t="str">
        <f ca="1">IF(ISERROR($S541),"",OFFSET('Smelter Reference List'!$C$4,$S541-4,0)&amp;"")</f>
        <v/>
      </c>
      <c r="E541" s="292" t="str">
        <f ca="1">IF(ISERROR($S541),"",OFFSET('Smelter Reference List'!$D$4,$S541-4,0)&amp;"")</f>
        <v/>
      </c>
      <c r="F541" s="292" t="str">
        <f ca="1">IF(ISERROR($S541),"",OFFSET('Smelter Reference List'!$E$4,$S541-4,0))</f>
        <v/>
      </c>
      <c r="G541" s="292" t="str">
        <f ca="1">IF(C541=$U$4,"Enter smelter details", IF(ISERROR($S541),"",OFFSET('Smelter Reference List'!$F$4,$S541-4,0)))</f>
        <v/>
      </c>
      <c r="H541" s="293" t="str">
        <f ca="1">IF(ISERROR($S541),"",OFFSET('Smelter Reference List'!$G$4,$S541-4,0))</f>
        <v/>
      </c>
      <c r="I541" s="294" t="str">
        <f ca="1">IF(ISERROR($S541),"",OFFSET('Smelter Reference List'!$H$4,$S541-4,0))</f>
        <v/>
      </c>
      <c r="J541" s="294" t="str">
        <f ca="1">IF(ISERROR($S541),"",OFFSET('Smelter Reference List'!$I$4,$S541-4,0))</f>
        <v/>
      </c>
      <c r="K541" s="295"/>
      <c r="L541" s="295"/>
      <c r="M541" s="295"/>
      <c r="N541" s="295"/>
      <c r="O541" s="295"/>
      <c r="P541" s="295"/>
      <c r="Q541" s="296"/>
      <c r="R541" s="227"/>
      <c r="S541" s="228" t="e">
        <f>IF(C541="",NA(),MATCH($B541&amp;$C541,'Smelter Reference List'!$J:$J,0))</f>
        <v>#N/A</v>
      </c>
      <c r="T541" s="229"/>
      <c r="U541" s="229">
        <f t="shared" ca="1" si="18"/>
        <v>0</v>
      </c>
      <c r="V541" s="229"/>
      <c r="W541" s="229"/>
      <c r="Y541" s="223" t="str">
        <f t="shared" si="19"/>
        <v/>
      </c>
    </row>
    <row r="542" spans="1:25" s="223" customFormat="1" ht="20.25">
      <c r="A542" s="291"/>
      <c r="B542" s="292" t="str">
        <f>IF(LEN(A542)=0,"",INDEX('Smelter Reference List'!$A:$A,MATCH($A542,'Smelter Reference List'!$E:$E,0)))</f>
        <v/>
      </c>
      <c r="C542" s="298" t="str">
        <f>IF(LEN(A542)=0,"",INDEX('Smelter Reference List'!$C:$C,MATCH($A542,'Smelter Reference List'!$E:$E,0)))</f>
        <v/>
      </c>
      <c r="D542" s="292" t="str">
        <f ca="1">IF(ISERROR($S542),"",OFFSET('Smelter Reference List'!$C$4,$S542-4,0)&amp;"")</f>
        <v/>
      </c>
      <c r="E542" s="292" t="str">
        <f ca="1">IF(ISERROR($S542),"",OFFSET('Smelter Reference List'!$D$4,$S542-4,0)&amp;"")</f>
        <v/>
      </c>
      <c r="F542" s="292" t="str">
        <f ca="1">IF(ISERROR($S542),"",OFFSET('Smelter Reference List'!$E$4,$S542-4,0))</f>
        <v/>
      </c>
      <c r="G542" s="292" t="str">
        <f ca="1">IF(C542=$U$4,"Enter smelter details", IF(ISERROR($S542),"",OFFSET('Smelter Reference List'!$F$4,$S542-4,0)))</f>
        <v/>
      </c>
      <c r="H542" s="293" t="str">
        <f ca="1">IF(ISERROR($S542),"",OFFSET('Smelter Reference List'!$G$4,$S542-4,0))</f>
        <v/>
      </c>
      <c r="I542" s="294" t="str">
        <f ca="1">IF(ISERROR($S542),"",OFFSET('Smelter Reference List'!$H$4,$S542-4,0))</f>
        <v/>
      </c>
      <c r="J542" s="294" t="str">
        <f ca="1">IF(ISERROR($S542),"",OFFSET('Smelter Reference List'!$I$4,$S542-4,0))</f>
        <v/>
      </c>
      <c r="K542" s="295"/>
      <c r="L542" s="295"/>
      <c r="M542" s="295"/>
      <c r="N542" s="295"/>
      <c r="O542" s="295"/>
      <c r="P542" s="295"/>
      <c r="Q542" s="296"/>
      <c r="R542" s="227"/>
      <c r="S542" s="228" t="e">
        <f>IF(C542="",NA(),MATCH($B542&amp;$C542,'Smelter Reference List'!$J:$J,0))</f>
        <v>#N/A</v>
      </c>
      <c r="T542" s="229"/>
      <c r="U542" s="229">
        <f t="shared" ca="1" si="18"/>
        <v>0</v>
      </c>
      <c r="V542" s="229"/>
      <c r="W542" s="229"/>
      <c r="Y542" s="223" t="str">
        <f t="shared" si="19"/>
        <v/>
      </c>
    </row>
    <row r="543" spans="1:25" s="223" customFormat="1" ht="20.25">
      <c r="A543" s="291"/>
      <c r="B543" s="292" t="str">
        <f>IF(LEN(A543)=0,"",INDEX('Smelter Reference List'!$A:$A,MATCH($A543,'Smelter Reference List'!$E:$E,0)))</f>
        <v/>
      </c>
      <c r="C543" s="298" t="str">
        <f>IF(LEN(A543)=0,"",INDEX('Smelter Reference List'!$C:$C,MATCH($A543,'Smelter Reference List'!$E:$E,0)))</f>
        <v/>
      </c>
      <c r="D543" s="292" t="str">
        <f ca="1">IF(ISERROR($S543),"",OFFSET('Smelter Reference List'!$C$4,$S543-4,0)&amp;"")</f>
        <v/>
      </c>
      <c r="E543" s="292" t="str">
        <f ca="1">IF(ISERROR($S543),"",OFFSET('Smelter Reference List'!$D$4,$S543-4,0)&amp;"")</f>
        <v/>
      </c>
      <c r="F543" s="292" t="str">
        <f ca="1">IF(ISERROR($S543),"",OFFSET('Smelter Reference List'!$E$4,$S543-4,0))</f>
        <v/>
      </c>
      <c r="G543" s="292" t="str">
        <f ca="1">IF(C543=$U$4,"Enter smelter details", IF(ISERROR($S543),"",OFFSET('Smelter Reference List'!$F$4,$S543-4,0)))</f>
        <v/>
      </c>
      <c r="H543" s="293" t="str">
        <f ca="1">IF(ISERROR($S543),"",OFFSET('Smelter Reference List'!$G$4,$S543-4,0))</f>
        <v/>
      </c>
      <c r="I543" s="294" t="str">
        <f ca="1">IF(ISERROR($S543),"",OFFSET('Smelter Reference List'!$H$4,$S543-4,0))</f>
        <v/>
      </c>
      <c r="J543" s="294" t="str">
        <f ca="1">IF(ISERROR($S543),"",OFFSET('Smelter Reference List'!$I$4,$S543-4,0))</f>
        <v/>
      </c>
      <c r="K543" s="295"/>
      <c r="L543" s="295"/>
      <c r="M543" s="295"/>
      <c r="N543" s="295"/>
      <c r="O543" s="295"/>
      <c r="P543" s="295"/>
      <c r="Q543" s="296"/>
      <c r="R543" s="227"/>
      <c r="S543" s="228" t="e">
        <f>IF(C543="",NA(),MATCH($B543&amp;$C543,'Smelter Reference List'!$J:$J,0))</f>
        <v>#N/A</v>
      </c>
      <c r="T543" s="229"/>
      <c r="U543" s="229">
        <f t="shared" ca="1" si="18"/>
        <v>0</v>
      </c>
      <c r="V543" s="229"/>
      <c r="W543" s="229"/>
      <c r="Y543" s="223" t="str">
        <f t="shared" si="19"/>
        <v/>
      </c>
    </row>
    <row r="544" spans="1:25" s="223" customFormat="1" ht="20.25">
      <c r="A544" s="291"/>
      <c r="B544" s="292" t="str">
        <f>IF(LEN(A544)=0,"",INDEX('Smelter Reference List'!$A:$A,MATCH($A544,'Smelter Reference List'!$E:$E,0)))</f>
        <v/>
      </c>
      <c r="C544" s="298" t="str">
        <f>IF(LEN(A544)=0,"",INDEX('Smelter Reference List'!$C:$C,MATCH($A544,'Smelter Reference List'!$E:$E,0)))</f>
        <v/>
      </c>
      <c r="D544" s="292" t="str">
        <f ca="1">IF(ISERROR($S544),"",OFFSET('Smelter Reference List'!$C$4,$S544-4,0)&amp;"")</f>
        <v/>
      </c>
      <c r="E544" s="292" t="str">
        <f ca="1">IF(ISERROR($S544),"",OFFSET('Smelter Reference List'!$D$4,$S544-4,0)&amp;"")</f>
        <v/>
      </c>
      <c r="F544" s="292" t="str">
        <f ca="1">IF(ISERROR($S544),"",OFFSET('Smelter Reference List'!$E$4,$S544-4,0))</f>
        <v/>
      </c>
      <c r="G544" s="292" t="str">
        <f ca="1">IF(C544=$U$4,"Enter smelter details", IF(ISERROR($S544),"",OFFSET('Smelter Reference List'!$F$4,$S544-4,0)))</f>
        <v/>
      </c>
      <c r="H544" s="293" t="str">
        <f ca="1">IF(ISERROR($S544),"",OFFSET('Smelter Reference List'!$G$4,$S544-4,0))</f>
        <v/>
      </c>
      <c r="I544" s="294" t="str">
        <f ca="1">IF(ISERROR($S544),"",OFFSET('Smelter Reference List'!$H$4,$S544-4,0))</f>
        <v/>
      </c>
      <c r="J544" s="294" t="str">
        <f ca="1">IF(ISERROR($S544),"",OFFSET('Smelter Reference List'!$I$4,$S544-4,0))</f>
        <v/>
      </c>
      <c r="K544" s="295"/>
      <c r="L544" s="295"/>
      <c r="M544" s="295"/>
      <c r="N544" s="295"/>
      <c r="O544" s="295"/>
      <c r="P544" s="295"/>
      <c r="Q544" s="296"/>
      <c r="R544" s="227"/>
      <c r="S544" s="228" t="e">
        <f>IF(C544="",NA(),MATCH($B544&amp;$C544,'Smelter Reference List'!$J:$J,0))</f>
        <v>#N/A</v>
      </c>
      <c r="T544" s="229"/>
      <c r="U544" s="229">
        <f t="shared" ca="1" si="18"/>
        <v>0</v>
      </c>
      <c r="V544" s="229"/>
      <c r="W544" s="229"/>
      <c r="Y544" s="223" t="str">
        <f t="shared" si="19"/>
        <v/>
      </c>
    </row>
    <row r="545" spans="1:25" s="223" customFormat="1" ht="20.25">
      <c r="A545" s="291"/>
      <c r="B545" s="292" t="str">
        <f>IF(LEN(A545)=0,"",INDEX('Smelter Reference List'!$A:$A,MATCH($A545,'Smelter Reference List'!$E:$E,0)))</f>
        <v/>
      </c>
      <c r="C545" s="298" t="str">
        <f>IF(LEN(A545)=0,"",INDEX('Smelter Reference List'!$C:$C,MATCH($A545,'Smelter Reference List'!$E:$E,0)))</f>
        <v/>
      </c>
      <c r="D545" s="292" t="str">
        <f ca="1">IF(ISERROR($S545),"",OFFSET('Smelter Reference List'!$C$4,$S545-4,0)&amp;"")</f>
        <v/>
      </c>
      <c r="E545" s="292" t="str">
        <f ca="1">IF(ISERROR($S545),"",OFFSET('Smelter Reference List'!$D$4,$S545-4,0)&amp;"")</f>
        <v/>
      </c>
      <c r="F545" s="292" t="str">
        <f ca="1">IF(ISERROR($S545),"",OFFSET('Smelter Reference List'!$E$4,$S545-4,0))</f>
        <v/>
      </c>
      <c r="G545" s="292" t="str">
        <f ca="1">IF(C545=$U$4,"Enter smelter details", IF(ISERROR($S545),"",OFFSET('Smelter Reference List'!$F$4,$S545-4,0)))</f>
        <v/>
      </c>
      <c r="H545" s="293" t="str">
        <f ca="1">IF(ISERROR($S545),"",OFFSET('Smelter Reference List'!$G$4,$S545-4,0))</f>
        <v/>
      </c>
      <c r="I545" s="294" t="str">
        <f ca="1">IF(ISERROR($S545),"",OFFSET('Smelter Reference List'!$H$4,$S545-4,0))</f>
        <v/>
      </c>
      <c r="J545" s="294" t="str">
        <f ca="1">IF(ISERROR($S545),"",OFFSET('Smelter Reference List'!$I$4,$S545-4,0))</f>
        <v/>
      </c>
      <c r="K545" s="295"/>
      <c r="L545" s="295"/>
      <c r="M545" s="295"/>
      <c r="N545" s="295"/>
      <c r="O545" s="295"/>
      <c r="P545" s="295"/>
      <c r="Q545" s="296"/>
      <c r="R545" s="227"/>
      <c r="S545" s="228" t="e">
        <f>IF(C545="",NA(),MATCH($B545&amp;$C545,'Smelter Reference List'!$J:$J,0))</f>
        <v>#N/A</v>
      </c>
      <c r="T545" s="229"/>
      <c r="U545" s="229">
        <f t="shared" ca="1" si="18"/>
        <v>0</v>
      </c>
      <c r="V545" s="229"/>
      <c r="W545" s="229"/>
      <c r="Y545" s="223" t="str">
        <f t="shared" si="19"/>
        <v/>
      </c>
    </row>
    <row r="546" spans="1:25" s="223" customFormat="1" ht="20.25">
      <c r="A546" s="291"/>
      <c r="B546" s="292" t="str">
        <f>IF(LEN(A546)=0,"",INDEX('Smelter Reference List'!$A:$A,MATCH($A546,'Smelter Reference List'!$E:$E,0)))</f>
        <v/>
      </c>
      <c r="C546" s="298" t="str">
        <f>IF(LEN(A546)=0,"",INDEX('Smelter Reference List'!$C:$C,MATCH($A546,'Smelter Reference List'!$E:$E,0)))</f>
        <v/>
      </c>
      <c r="D546" s="292" t="str">
        <f ca="1">IF(ISERROR($S546),"",OFFSET('Smelter Reference List'!$C$4,$S546-4,0)&amp;"")</f>
        <v/>
      </c>
      <c r="E546" s="292" t="str">
        <f ca="1">IF(ISERROR($S546),"",OFFSET('Smelter Reference List'!$D$4,$S546-4,0)&amp;"")</f>
        <v/>
      </c>
      <c r="F546" s="292" t="str">
        <f ca="1">IF(ISERROR($S546),"",OFFSET('Smelter Reference List'!$E$4,$S546-4,0))</f>
        <v/>
      </c>
      <c r="G546" s="292" t="str">
        <f ca="1">IF(C546=$U$4,"Enter smelter details", IF(ISERROR($S546),"",OFFSET('Smelter Reference List'!$F$4,$S546-4,0)))</f>
        <v/>
      </c>
      <c r="H546" s="293" t="str">
        <f ca="1">IF(ISERROR($S546),"",OFFSET('Smelter Reference List'!$G$4,$S546-4,0))</f>
        <v/>
      </c>
      <c r="I546" s="294" t="str">
        <f ca="1">IF(ISERROR($S546),"",OFFSET('Smelter Reference List'!$H$4,$S546-4,0))</f>
        <v/>
      </c>
      <c r="J546" s="294" t="str">
        <f ca="1">IF(ISERROR($S546),"",OFFSET('Smelter Reference List'!$I$4,$S546-4,0))</f>
        <v/>
      </c>
      <c r="K546" s="295"/>
      <c r="L546" s="295"/>
      <c r="M546" s="295"/>
      <c r="N546" s="295"/>
      <c r="O546" s="295"/>
      <c r="P546" s="295"/>
      <c r="Q546" s="296"/>
      <c r="R546" s="227"/>
      <c r="S546" s="228" t="e">
        <f>IF(C546="",NA(),MATCH($B546&amp;$C546,'Smelter Reference List'!$J:$J,0))</f>
        <v>#N/A</v>
      </c>
      <c r="T546" s="229"/>
      <c r="U546" s="229">
        <f t="shared" ca="1" si="18"/>
        <v>0</v>
      </c>
      <c r="V546" s="229"/>
      <c r="W546" s="229"/>
      <c r="Y546" s="223" t="str">
        <f t="shared" si="19"/>
        <v/>
      </c>
    </row>
    <row r="547" spans="1:25" s="223" customFormat="1" ht="20.25">
      <c r="A547" s="291"/>
      <c r="B547" s="292" t="str">
        <f>IF(LEN(A547)=0,"",INDEX('Smelter Reference List'!$A:$A,MATCH($A547,'Smelter Reference List'!$E:$E,0)))</f>
        <v/>
      </c>
      <c r="C547" s="298" t="str">
        <f>IF(LEN(A547)=0,"",INDEX('Smelter Reference List'!$C:$C,MATCH($A547,'Smelter Reference List'!$E:$E,0)))</f>
        <v/>
      </c>
      <c r="D547" s="292" t="str">
        <f ca="1">IF(ISERROR($S547),"",OFFSET('Smelter Reference List'!$C$4,$S547-4,0)&amp;"")</f>
        <v/>
      </c>
      <c r="E547" s="292" t="str">
        <f ca="1">IF(ISERROR($S547),"",OFFSET('Smelter Reference List'!$D$4,$S547-4,0)&amp;"")</f>
        <v/>
      </c>
      <c r="F547" s="292" t="str">
        <f ca="1">IF(ISERROR($S547),"",OFFSET('Smelter Reference List'!$E$4,$S547-4,0))</f>
        <v/>
      </c>
      <c r="G547" s="292" t="str">
        <f ca="1">IF(C547=$U$4,"Enter smelter details", IF(ISERROR($S547),"",OFFSET('Smelter Reference List'!$F$4,$S547-4,0)))</f>
        <v/>
      </c>
      <c r="H547" s="293" t="str">
        <f ca="1">IF(ISERROR($S547),"",OFFSET('Smelter Reference List'!$G$4,$S547-4,0))</f>
        <v/>
      </c>
      <c r="I547" s="294" t="str">
        <f ca="1">IF(ISERROR($S547),"",OFFSET('Smelter Reference List'!$H$4,$S547-4,0))</f>
        <v/>
      </c>
      <c r="J547" s="294" t="str">
        <f ca="1">IF(ISERROR($S547),"",OFFSET('Smelter Reference List'!$I$4,$S547-4,0))</f>
        <v/>
      </c>
      <c r="K547" s="295"/>
      <c r="L547" s="295"/>
      <c r="M547" s="295"/>
      <c r="N547" s="295"/>
      <c r="O547" s="295"/>
      <c r="P547" s="295"/>
      <c r="Q547" s="296"/>
      <c r="R547" s="227"/>
      <c r="S547" s="228" t="e">
        <f>IF(C547="",NA(),MATCH($B547&amp;$C547,'Smelter Reference List'!$J:$J,0))</f>
        <v>#N/A</v>
      </c>
      <c r="T547" s="229"/>
      <c r="U547" s="229">
        <f t="shared" ca="1" si="18"/>
        <v>0</v>
      </c>
      <c r="V547" s="229"/>
      <c r="W547" s="229"/>
      <c r="Y547" s="223" t="str">
        <f t="shared" si="19"/>
        <v/>
      </c>
    </row>
    <row r="548" spans="1:25" s="223" customFormat="1" ht="20.25">
      <c r="A548" s="291"/>
      <c r="B548" s="292" t="str">
        <f>IF(LEN(A548)=0,"",INDEX('Smelter Reference List'!$A:$A,MATCH($A548,'Smelter Reference List'!$E:$E,0)))</f>
        <v/>
      </c>
      <c r="C548" s="298" t="str">
        <f>IF(LEN(A548)=0,"",INDEX('Smelter Reference List'!$C:$C,MATCH($A548,'Smelter Reference List'!$E:$E,0)))</f>
        <v/>
      </c>
      <c r="D548" s="292" t="str">
        <f ca="1">IF(ISERROR($S548),"",OFFSET('Smelter Reference List'!$C$4,$S548-4,0)&amp;"")</f>
        <v/>
      </c>
      <c r="E548" s="292" t="str">
        <f ca="1">IF(ISERROR($S548),"",OFFSET('Smelter Reference List'!$D$4,$S548-4,0)&amp;"")</f>
        <v/>
      </c>
      <c r="F548" s="292" t="str">
        <f ca="1">IF(ISERROR($S548),"",OFFSET('Smelter Reference List'!$E$4,$S548-4,0))</f>
        <v/>
      </c>
      <c r="G548" s="292" t="str">
        <f ca="1">IF(C548=$U$4,"Enter smelter details", IF(ISERROR($S548),"",OFFSET('Smelter Reference List'!$F$4,$S548-4,0)))</f>
        <v/>
      </c>
      <c r="H548" s="293" t="str">
        <f ca="1">IF(ISERROR($S548),"",OFFSET('Smelter Reference List'!$G$4,$S548-4,0))</f>
        <v/>
      </c>
      <c r="I548" s="294" t="str">
        <f ca="1">IF(ISERROR($S548),"",OFFSET('Smelter Reference List'!$H$4,$S548-4,0))</f>
        <v/>
      </c>
      <c r="J548" s="294" t="str">
        <f ca="1">IF(ISERROR($S548),"",OFFSET('Smelter Reference List'!$I$4,$S548-4,0))</f>
        <v/>
      </c>
      <c r="K548" s="295"/>
      <c r="L548" s="295"/>
      <c r="M548" s="295"/>
      <c r="N548" s="295"/>
      <c r="O548" s="295"/>
      <c r="P548" s="295"/>
      <c r="Q548" s="296"/>
      <c r="R548" s="227"/>
      <c r="S548" s="228" t="e">
        <f>IF(C548="",NA(),MATCH($B548&amp;$C548,'Smelter Reference List'!$J:$J,0))</f>
        <v>#N/A</v>
      </c>
      <c r="T548" s="229"/>
      <c r="U548" s="229">
        <f t="shared" ca="1" si="18"/>
        <v>0</v>
      </c>
      <c r="V548" s="229"/>
      <c r="W548" s="229"/>
      <c r="Y548" s="223" t="str">
        <f t="shared" si="19"/>
        <v/>
      </c>
    </row>
    <row r="549" spans="1:25" s="223" customFormat="1" ht="20.25">
      <c r="A549" s="291"/>
      <c r="B549" s="292" t="str">
        <f>IF(LEN(A549)=0,"",INDEX('Smelter Reference List'!$A:$A,MATCH($A549,'Smelter Reference List'!$E:$E,0)))</f>
        <v/>
      </c>
      <c r="C549" s="298" t="str">
        <f>IF(LEN(A549)=0,"",INDEX('Smelter Reference List'!$C:$C,MATCH($A549,'Smelter Reference List'!$E:$E,0)))</f>
        <v/>
      </c>
      <c r="D549" s="292" t="str">
        <f ca="1">IF(ISERROR($S549),"",OFFSET('Smelter Reference List'!$C$4,$S549-4,0)&amp;"")</f>
        <v/>
      </c>
      <c r="E549" s="292" t="str">
        <f ca="1">IF(ISERROR($S549),"",OFFSET('Smelter Reference List'!$D$4,$S549-4,0)&amp;"")</f>
        <v/>
      </c>
      <c r="F549" s="292" t="str">
        <f ca="1">IF(ISERROR($S549),"",OFFSET('Smelter Reference List'!$E$4,$S549-4,0))</f>
        <v/>
      </c>
      <c r="G549" s="292" t="str">
        <f ca="1">IF(C549=$U$4,"Enter smelter details", IF(ISERROR($S549),"",OFFSET('Smelter Reference List'!$F$4,$S549-4,0)))</f>
        <v/>
      </c>
      <c r="H549" s="293" t="str">
        <f ca="1">IF(ISERROR($S549),"",OFFSET('Smelter Reference List'!$G$4,$S549-4,0))</f>
        <v/>
      </c>
      <c r="I549" s="294" t="str">
        <f ca="1">IF(ISERROR($S549),"",OFFSET('Smelter Reference List'!$H$4,$S549-4,0))</f>
        <v/>
      </c>
      <c r="J549" s="294" t="str">
        <f ca="1">IF(ISERROR($S549),"",OFFSET('Smelter Reference List'!$I$4,$S549-4,0))</f>
        <v/>
      </c>
      <c r="K549" s="295"/>
      <c r="L549" s="295"/>
      <c r="M549" s="295"/>
      <c r="N549" s="295"/>
      <c r="O549" s="295"/>
      <c r="P549" s="295"/>
      <c r="Q549" s="296"/>
      <c r="R549" s="227"/>
      <c r="S549" s="228" t="e">
        <f>IF(C549="",NA(),MATCH($B549&amp;$C549,'Smelter Reference List'!$J:$J,0))</f>
        <v>#N/A</v>
      </c>
      <c r="T549" s="229"/>
      <c r="U549" s="229">
        <f t="shared" ca="1" si="18"/>
        <v>0</v>
      </c>
      <c r="V549" s="229"/>
      <c r="W549" s="229"/>
      <c r="Y549" s="223" t="str">
        <f t="shared" si="19"/>
        <v/>
      </c>
    </row>
    <row r="550" spans="1:25" s="223" customFormat="1" ht="20.25">
      <c r="A550" s="291"/>
      <c r="B550" s="292" t="str">
        <f>IF(LEN(A550)=0,"",INDEX('Smelter Reference List'!$A:$A,MATCH($A550,'Smelter Reference List'!$E:$E,0)))</f>
        <v/>
      </c>
      <c r="C550" s="298" t="str">
        <f>IF(LEN(A550)=0,"",INDEX('Smelter Reference List'!$C:$C,MATCH($A550,'Smelter Reference List'!$E:$E,0)))</f>
        <v/>
      </c>
      <c r="D550" s="292" t="str">
        <f ca="1">IF(ISERROR($S550),"",OFFSET('Smelter Reference List'!$C$4,$S550-4,0)&amp;"")</f>
        <v/>
      </c>
      <c r="E550" s="292" t="str">
        <f ca="1">IF(ISERROR($S550),"",OFFSET('Smelter Reference List'!$D$4,$S550-4,0)&amp;"")</f>
        <v/>
      </c>
      <c r="F550" s="292" t="str">
        <f ca="1">IF(ISERROR($S550),"",OFFSET('Smelter Reference List'!$E$4,$S550-4,0))</f>
        <v/>
      </c>
      <c r="G550" s="292" t="str">
        <f ca="1">IF(C550=$U$4,"Enter smelter details", IF(ISERROR($S550),"",OFFSET('Smelter Reference List'!$F$4,$S550-4,0)))</f>
        <v/>
      </c>
      <c r="H550" s="293" t="str">
        <f ca="1">IF(ISERROR($S550),"",OFFSET('Smelter Reference List'!$G$4,$S550-4,0))</f>
        <v/>
      </c>
      <c r="I550" s="294" t="str">
        <f ca="1">IF(ISERROR($S550),"",OFFSET('Smelter Reference List'!$H$4,$S550-4,0))</f>
        <v/>
      </c>
      <c r="J550" s="294" t="str">
        <f ca="1">IF(ISERROR($S550),"",OFFSET('Smelter Reference List'!$I$4,$S550-4,0))</f>
        <v/>
      </c>
      <c r="K550" s="295"/>
      <c r="L550" s="295"/>
      <c r="M550" s="295"/>
      <c r="N550" s="295"/>
      <c r="O550" s="295"/>
      <c r="P550" s="295"/>
      <c r="Q550" s="296"/>
      <c r="R550" s="227"/>
      <c r="S550" s="228" t="e">
        <f>IF(C550="",NA(),MATCH($B550&amp;$C550,'Smelter Reference List'!$J:$J,0))</f>
        <v>#N/A</v>
      </c>
      <c r="T550" s="229"/>
      <c r="U550" s="229">
        <f t="shared" ca="1" si="18"/>
        <v>0</v>
      </c>
      <c r="V550" s="229"/>
      <c r="W550" s="229"/>
      <c r="Y550" s="223" t="str">
        <f t="shared" si="19"/>
        <v/>
      </c>
    </row>
    <row r="551" spans="1:25" s="223" customFormat="1" ht="20.25">
      <c r="A551" s="291"/>
      <c r="B551" s="292" t="str">
        <f>IF(LEN(A551)=0,"",INDEX('Smelter Reference List'!$A:$A,MATCH($A551,'Smelter Reference List'!$E:$E,0)))</f>
        <v/>
      </c>
      <c r="C551" s="298" t="str">
        <f>IF(LEN(A551)=0,"",INDEX('Smelter Reference List'!$C:$C,MATCH($A551,'Smelter Reference List'!$E:$E,0)))</f>
        <v/>
      </c>
      <c r="D551" s="292" t="str">
        <f ca="1">IF(ISERROR($S551),"",OFFSET('Smelter Reference List'!$C$4,$S551-4,0)&amp;"")</f>
        <v/>
      </c>
      <c r="E551" s="292" t="str">
        <f ca="1">IF(ISERROR($S551),"",OFFSET('Smelter Reference List'!$D$4,$S551-4,0)&amp;"")</f>
        <v/>
      </c>
      <c r="F551" s="292" t="str">
        <f ca="1">IF(ISERROR($S551),"",OFFSET('Smelter Reference List'!$E$4,$S551-4,0))</f>
        <v/>
      </c>
      <c r="G551" s="292" t="str">
        <f ca="1">IF(C551=$U$4,"Enter smelter details", IF(ISERROR($S551),"",OFFSET('Smelter Reference List'!$F$4,$S551-4,0)))</f>
        <v/>
      </c>
      <c r="H551" s="293" t="str">
        <f ca="1">IF(ISERROR($S551),"",OFFSET('Smelter Reference List'!$G$4,$S551-4,0))</f>
        <v/>
      </c>
      <c r="I551" s="294" t="str">
        <f ca="1">IF(ISERROR($S551),"",OFFSET('Smelter Reference List'!$H$4,$S551-4,0))</f>
        <v/>
      </c>
      <c r="J551" s="294" t="str">
        <f ca="1">IF(ISERROR($S551),"",OFFSET('Smelter Reference List'!$I$4,$S551-4,0))</f>
        <v/>
      </c>
      <c r="K551" s="295"/>
      <c r="L551" s="295"/>
      <c r="M551" s="295"/>
      <c r="N551" s="295"/>
      <c r="O551" s="295"/>
      <c r="P551" s="295"/>
      <c r="Q551" s="296"/>
      <c r="R551" s="227"/>
      <c r="S551" s="228" t="e">
        <f>IF(C551="",NA(),MATCH($B551&amp;$C551,'Smelter Reference List'!$J:$J,0))</f>
        <v>#N/A</v>
      </c>
      <c r="T551" s="229"/>
      <c r="U551" s="229">
        <f t="shared" ca="1" si="18"/>
        <v>0</v>
      </c>
      <c r="V551" s="229"/>
      <c r="W551" s="229"/>
      <c r="Y551" s="223" t="str">
        <f t="shared" si="19"/>
        <v/>
      </c>
    </row>
    <row r="552" spans="1:25" s="223" customFormat="1" ht="20.25">
      <c r="A552" s="291"/>
      <c r="B552" s="292" t="str">
        <f>IF(LEN(A552)=0,"",INDEX('Smelter Reference List'!$A:$A,MATCH($A552,'Smelter Reference List'!$E:$E,0)))</f>
        <v/>
      </c>
      <c r="C552" s="298" t="str">
        <f>IF(LEN(A552)=0,"",INDEX('Smelter Reference List'!$C:$C,MATCH($A552,'Smelter Reference List'!$E:$E,0)))</f>
        <v/>
      </c>
      <c r="D552" s="292" t="str">
        <f ca="1">IF(ISERROR($S552),"",OFFSET('Smelter Reference List'!$C$4,$S552-4,0)&amp;"")</f>
        <v/>
      </c>
      <c r="E552" s="292" t="str">
        <f ca="1">IF(ISERROR($S552),"",OFFSET('Smelter Reference List'!$D$4,$S552-4,0)&amp;"")</f>
        <v/>
      </c>
      <c r="F552" s="292" t="str">
        <f ca="1">IF(ISERROR($S552),"",OFFSET('Smelter Reference List'!$E$4,$S552-4,0))</f>
        <v/>
      </c>
      <c r="G552" s="292" t="str">
        <f ca="1">IF(C552=$U$4,"Enter smelter details", IF(ISERROR($S552),"",OFFSET('Smelter Reference List'!$F$4,$S552-4,0)))</f>
        <v/>
      </c>
      <c r="H552" s="293" t="str">
        <f ca="1">IF(ISERROR($S552),"",OFFSET('Smelter Reference List'!$G$4,$S552-4,0))</f>
        <v/>
      </c>
      <c r="I552" s="294" t="str">
        <f ca="1">IF(ISERROR($S552),"",OFFSET('Smelter Reference List'!$H$4,$S552-4,0))</f>
        <v/>
      </c>
      <c r="J552" s="294" t="str">
        <f ca="1">IF(ISERROR($S552),"",OFFSET('Smelter Reference List'!$I$4,$S552-4,0))</f>
        <v/>
      </c>
      <c r="K552" s="295"/>
      <c r="L552" s="295"/>
      <c r="M552" s="295"/>
      <c r="N552" s="295"/>
      <c r="O552" s="295"/>
      <c r="P552" s="295"/>
      <c r="Q552" s="296"/>
      <c r="R552" s="227"/>
      <c r="S552" s="228" t="e">
        <f>IF(C552="",NA(),MATCH($B552&amp;$C552,'Smelter Reference List'!$J:$J,0))</f>
        <v>#N/A</v>
      </c>
      <c r="T552" s="229"/>
      <c r="U552" s="229">
        <f t="shared" ca="1" si="18"/>
        <v>0</v>
      </c>
      <c r="V552" s="229"/>
      <c r="W552" s="229"/>
      <c r="Y552" s="223" t="str">
        <f t="shared" si="19"/>
        <v/>
      </c>
    </row>
    <row r="553" spans="1:25" s="223" customFormat="1" ht="20.25">
      <c r="A553" s="291"/>
      <c r="B553" s="292" t="str">
        <f>IF(LEN(A553)=0,"",INDEX('Smelter Reference List'!$A:$A,MATCH($A553,'Smelter Reference List'!$E:$E,0)))</f>
        <v/>
      </c>
      <c r="C553" s="298" t="str">
        <f>IF(LEN(A553)=0,"",INDEX('Smelter Reference List'!$C:$C,MATCH($A553,'Smelter Reference List'!$E:$E,0)))</f>
        <v/>
      </c>
      <c r="D553" s="292" t="str">
        <f ca="1">IF(ISERROR($S553),"",OFFSET('Smelter Reference List'!$C$4,$S553-4,0)&amp;"")</f>
        <v/>
      </c>
      <c r="E553" s="292" t="str">
        <f ca="1">IF(ISERROR($S553),"",OFFSET('Smelter Reference List'!$D$4,$S553-4,0)&amp;"")</f>
        <v/>
      </c>
      <c r="F553" s="292" t="str">
        <f ca="1">IF(ISERROR($S553),"",OFFSET('Smelter Reference List'!$E$4,$S553-4,0))</f>
        <v/>
      </c>
      <c r="G553" s="292" t="str">
        <f ca="1">IF(C553=$U$4,"Enter smelter details", IF(ISERROR($S553),"",OFFSET('Smelter Reference List'!$F$4,$S553-4,0)))</f>
        <v/>
      </c>
      <c r="H553" s="293" t="str">
        <f ca="1">IF(ISERROR($S553),"",OFFSET('Smelter Reference List'!$G$4,$S553-4,0))</f>
        <v/>
      </c>
      <c r="I553" s="294" t="str">
        <f ca="1">IF(ISERROR($S553),"",OFFSET('Smelter Reference List'!$H$4,$S553-4,0))</f>
        <v/>
      </c>
      <c r="J553" s="294" t="str">
        <f ca="1">IF(ISERROR($S553),"",OFFSET('Smelter Reference List'!$I$4,$S553-4,0))</f>
        <v/>
      </c>
      <c r="K553" s="295"/>
      <c r="L553" s="295"/>
      <c r="M553" s="295"/>
      <c r="N553" s="295"/>
      <c r="O553" s="295"/>
      <c r="P553" s="295"/>
      <c r="Q553" s="296"/>
      <c r="R553" s="227"/>
      <c r="S553" s="228" t="e">
        <f>IF(C553="",NA(),MATCH($B553&amp;$C553,'Smelter Reference List'!$J:$J,0))</f>
        <v>#N/A</v>
      </c>
      <c r="T553" s="229"/>
      <c r="U553" s="229">
        <f t="shared" ca="1" si="18"/>
        <v>0</v>
      </c>
      <c r="V553" s="229"/>
      <c r="W553" s="229"/>
      <c r="Y553" s="223" t="str">
        <f t="shared" si="19"/>
        <v/>
      </c>
    </row>
    <row r="554" spans="1:25" s="223" customFormat="1" ht="20.25">
      <c r="A554" s="291"/>
      <c r="B554" s="292" t="str">
        <f>IF(LEN(A554)=0,"",INDEX('Smelter Reference List'!$A:$A,MATCH($A554,'Smelter Reference List'!$E:$E,0)))</f>
        <v/>
      </c>
      <c r="C554" s="298" t="str">
        <f>IF(LEN(A554)=0,"",INDEX('Smelter Reference List'!$C:$C,MATCH($A554,'Smelter Reference List'!$E:$E,0)))</f>
        <v/>
      </c>
      <c r="D554" s="292" t="str">
        <f ca="1">IF(ISERROR($S554),"",OFFSET('Smelter Reference List'!$C$4,$S554-4,0)&amp;"")</f>
        <v/>
      </c>
      <c r="E554" s="292" t="str">
        <f ca="1">IF(ISERROR($S554),"",OFFSET('Smelter Reference List'!$D$4,$S554-4,0)&amp;"")</f>
        <v/>
      </c>
      <c r="F554" s="292" t="str">
        <f ca="1">IF(ISERROR($S554),"",OFFSET('Smelter Reference List'!$E$4,$S554-4,0))</f>
        <v/>
      </c>
      <c r="G554" s="292" t="str">
        <f ca="1">IF(C554=$U$4,"Enter smelter details", IF(ISERROR($S554),"",OFFSET('Smelter Reference List'!$F$4,$S554-4,0)))</f>
        <v/>
      </c>
      <c r="H554" s="293" t="str">
        <f ca="1">IF(ISERROR($S554),"",OFFSET('Smelter Reference List'!$G$4,$S554-4,0))</f>
        <v/>
      </c>
      <c r="I554" s="294" t="str">
        <f ca="1">IF(ISERROR($S554),"",OFFSET('Smelter Reference List'!$H$4,$S554-4,0))</f>
        <v/>
      </c>
      <c r="J554" s="294" t="str">
        <f ca="1">IF(ISERROR($S554),"",OFFSET('Smelter Reference List'!$I$4,$S554-4,0))</f>
        <v/>
      </c>
      <c r="K554" s="295"/>
      <c r="L554" s="295"/>
      <c r="M554" s="295"/>
      <c r="N554" s="295"/>
      <c r="O554" s="295"/>
      <c r="P554" s="295"/>
      <c r="Q554" s="296"/>
      <c r="R554" s="227"/>
      <c r="S554" s="228" t="e">
        <f>IF(C554="",NA(),MATCH($B554&amp;$C554,'Smelter Reference List'!$J:$J,0))</f>
        <v>#N/A</v>
      </c>
      <c r="T554" s="229"/>
      <c r="U554" s="229">
        <f t="shared" ca="1" si="18"/>
        <v>0</v>
      </c>
      <c r="V554" s="229"/>
      <c r="W554" s="229"/>
      <c r="Y554" s="223" t="str">
        <f t="shared" si="19"/>
        <v/>
      </c>
    </row>
    <row r="555" spans="1:25" s="223" customFormat="1" ht="20.25">
      <c r="A555" s="291"/>
      <c r="B555" s="292" t="str">
        <f>IF(LEN(A555)=0,"",INDEX('Smelter Reference List'!$A:$A,MATCH($A555,'Smelter Reference List'!$E:$E,0)))</f>
        <v/>
      </c>
      <c r="C555" s="298" t="str">
        <f>IF(LEN(A555)=0,"",INDEX('Smelter Reference List'!$C:$C,MATCH($A555,'Smelter Reference List'!$E:$E,0)))</f>
        <v/>
      </c>
      <c r="D555" s="292" t="str">
        <f ca="1">IF(ISERROR($S555),"",OFFSET('Smelter Reference List'!$C$4,$S555-4,0)&amp;"")</f>
        <v/>
      </c>
      <c r="E555" s="292" t="str">
        <f ca="1">IF(ISERROR($S555),"",OFFSET('Smelter Reference List'!$D$4,$S555-4,0)&amp;"")</f>
        <v/>
      </c>
      <c r="F555" s="292" t="str">
        <f ca="1">IF(ISERROR($S555),"",OFFSET('Smelter Reference List'!$E$4,$S555-4,0))</f>
        <v/>
      </c>
      <c r="G555" s="292" t="str">
        <f ca="1">IF(C555=$U$4,"Enter smelter details", IF(ISERROR($S555),"",OFFSET('Smelter Reference List'!$F$4,$S555-4,0)))</f>
        <v/>
      </c>
      <c r="H555" s="293" t="str">
        <f ca="1">IF(ISERROR($S555),"",OFFSET('Smelter Reference List'!$G$4,$S555-4,0))</f>
        <v/>
      </c>
      <c r="I555" s="294" t="str">
        <f ca="1">IF(ISERROR($S555),"",OFFSET('Smelter Reference List'!$H$4,$S555-4,0))</f>
        <v/>
      </c>
      <c r="J555" s="294" t="str">
        <f ca="1">IF(ISERROR($S555),"",OFFSET('Smelter Reference List'!$I$4,$S555-4,0))</f>
        <v/>
      </c>
      <c r="K555" s="295"/>
      <c r="L555" s="295"/>
      <c r="M555" s="295"/>
      <c r="N555" s="295"/>
      <c r="O555" s="295"/>
      <c r="P555" s="295"/>
      <c r="Q555" s="296"/>
      <c r="R555" s="227"/>
      <c r="S555" s="228" t="e">
        <f>IF(C555="",NA(),MATCH($B555&amp;$C555,'Smelter Reference List'!$J:$J,0))</f>
        <v>#N/A</v>
      </c>
      <c r="T555" s="229"/>
      <c r="U555" s="229">
        <f t="shared" ca="1" si="18"/>
        <v>0</v>
      </c>
      <c r="V555" s="229"/>
      <c r="W555" s="229"/>
      <c r="Y555" s="223" t="str">
        <f t="shared" si="19"/>
        <v/>
      </c>
    </row>
    <row r="556" spans="1:25" s="223" customFormat="1" ht="20.25">
      <c r="A556" s="291"/>
      <c r="B556" s="292" t="str">
        <f>IF(LEN(A556)=0,"",INDEX('Smelter Reference List'!$A:$A,MATCH($A556,'Smelter Reference List'!$E:$E,0)))</f>
        <v/>
      </c>
      <c r="C556" s="298" t="str">
        <f>IF(LEN(A556)=0,"",INDEX('Smelter Reference List'!$C:$C,MATCH($A556,'Smelter Reference List'!$E:$E,0)))</f>
        <v/>
      </c>
      <c r="D556" s="292" t="str">
        <f ca="1">IF(ISERROR($S556),"",OFFSET('Smelter Reference List'!$C$4,$S556-4,0)&amp;"")</f>
        <v/>
      </c>
      <c r="E556" s="292" t="str">
        <f ca="1">IF(ISERROR($S556),"",OFFSET('Smelter Reference List'!$D$4,$S556-4,0)&amp;"")</f>
        <v/>
      </c>
      <c r="F556" s="292" t="str">
        <f ca="1">IF(ISERROR($S556),"",OFFSET('Smelter Reference List'!$E$4,$S556-4,0))</f>
        <v/>
      </c>
      <c r="G556" s="292" t="str">
        <f ca="1">IF(C556=$U$4,"Enter smelter details", IF(ISERROR($S556),"",OFFSET('Smelter Reference List'!$F$4,$S556-4,0)))</f>
        <v/>
      </c>
      <c r="H556" s="293" t="str">
        <f ca="1">IF(ISERROR($S556),"",OFFSET('Smelter Reference List'!$G$4,$S556-4,0))</f>
        <v/>
      </c>
      <c r="I556" s="294" t="str">
        <f ca="1">IF(ISERROR($S556),"",OFFSET('Smelter Reference List'!$H$4,$S556-4,0))</f>
        <v/>
      </c>
      <c r="J556" s="294" t="str">
        <f ca="1">IF(ISERROR($S556),"",OFFSET('Smelter Reference List'!$I$4,$S556-4,0))</f>
        <v/>
      </c>
      <c r="K556" s="295"/>
      <c r="L556" s="295"/>
      <c r="M556" s="295"/>
      <c r="N556" s="295"/>
      <c r="O556" s="295"/>
      <c r="P556" s="295"/>
      <c r="Q556" s="296"/>
      <c r="R556" s="227"/>
      <c r="S556" s="228" t="e">
        <f>IF(C556="",NA(),MATCH($B556&amp;$C556,'Smelter Reference List'!$J:$J,0))</f>
        <v>#N/A</v>
      </c>
      <c r="T556" s="229"/>
      <c r="U556" s="229">
        <f t="shared" ca="1" si="18"/>
        <v>0</v>
      </c>
      <c r="V556" s="229"/>
      <c r="W556" s="229"/>
      <c r="Y556" s="223" t="str">
        <f t="shared" si="19"/>
        <v/>
      </c>
    </row>
    <row r="557" spans="1:25" s="223" customFormat="1" ht="20.25">
      <c r="A557" s="291"/>
      <c r="B557" s="292" t="str">
        <f>IF(LEN(A557)=0,"",INDEX('Smelter Reference List'!$A:$A,MATCH($A557,'Smelter Reference List'!$E:$E,0)))</f>
        <v/>
      </c>
      <c r="C557" s="298" t="str">
        <f>IF(LEN(A557)=0,"",INDEX('Smelter Reference List'!$C:$C,MATCH($A557,'Smelter Reference List'!$E:$E,0)))</f>
        <v/>
      </c>
      <c r="D557" s="292" t="str">
        <f ca="1">IF(ISERROR($S557),"",OFFSET('Smelter Reference List'!$C$4,$S557-4,0)&amp;"")</f>
        <v/>
      </c>
      <c r="E557" s="292" t="str">
        <f ca="1">IF(ISERROR($S557),"",OFFSET('Smelter Reference List'!$D$4,$S557-4,0)&amp;"")</f>
        <v/>
      </c>
      <c r="F557" s="292" t="str">
        <f ca="1">IF(ISERROR($S557),"",OFFSET('Smelter Reference List'!$E$4,$S557-4,0))</f>
        <v/>
      </c>
      <c r="G557" s="292" t="str">
        <f ca="1">IF(C557=$U$4,"Enter smelter details", IF(ISERROR($S557),"",OFFSET('Smelter Reference List'!$F$4,$S557-4,0)))</f>
        <v/>
      </c>
      <c r="H557" s="293" t="str">
        <f ca="1">IF(ISERROR($S557),"",OFFSET('Smelter Reference List'!$G$4,$S557-4,0))</f>
        <v/>
      </c>
      <c r="I557" s="294" t="str">
        <f ca="1">IF(ISERROR($S557),"",OFFSET('Smelter Reference List'!$H$4,$S557-4,0))</f>
        <v/>
      </c>
      <c r="J557" s="294" t="str">
        <f ca="1">IF(ISERROR($S557),"",OFFSET('Smelter Reference List'!$I$4,$S557-4,0))</f>
        <v/>
      </c>
      <c r="K557" s="295"/>
      <c r="L557" s="295"/>
      <c r="M557" s="295"/>
      <c r="N557" s="295"/>
      <c r="O557" s="295"/>
      <c r="P557" s="295"/>
      <c r="Q557" s="296"/>
      <c r="R557" s="227"/>
      <c r="S557" s="228" t="e">
        <f>IF(C557="",NA(),MATCH($B557&amp;$C557,'Smelter Reference List'!$J:$J,0))</f>
        <v>#N/A</v>
      </c>
      <c r="T557" s="229"/>
      <c r="U557" s="229">
        <f t="shared" ca="1" si="18"/>
        <v>0</v>
      </c>
      <c r="V557" s="229"/>
      <c r="W557" s="229"/>
      <c r="Y557" s="223" t="str">
        <f t="shared" si="19"/>
        <v/>
      </c>
    </row>
    <row r="558" spans="1:25" s="223" customFormat="1" ht="20.25">
      <c r="A558" s="291"/>
      <c r="B558" s="292" t="str">
        <f>IF(LEN(A558)=0,"",INDEX('Smelter Reference List'!$A:$A,MATCH($A558,'Smelter Reference List'!$E:$E,0)))</f>
        <v/>
      </c>
      <c r="C558" s="298" t="str">
        <f>IF(LEN(A558)=0,"",INDEX('Smelter Reference List'!$C:$C,MATCH($A558,'Smelter Reference List'!$E:$E,0)))</f>
        <v/>
      </c>
      <c r="D558" s="292" t="str">
        <f ca="1">IF(ISERROR($S558),"",OFFSET('Smelter Reference List'!$C$4,$S558-4,0)&amp;"")</f>
        <v/>
      </c>
      <c r="E558" s="292" t="str">
        <f ca="1">IF(ISERROR($S558),"",OFFSET('Smelter Reference List'!$D$4,$S558-4,0)&amp;"")</f>
        <v/>
      </c>
      <c r="F558" s="292" t="str">
        <f ca="1">IF(ISERROR($S558),"",OFFSET('Smelter Reference List'!$E$4,$S558-4,0))</f>
        <v/>
      </c>
      <c r="G558" s="292" t="str">
        <f ca="1">IF(C558=$U$4,"Enter smelter details", IF(ISERROR($S558),"",OFFSET('Smelter Reference List'!$F$4,$S558-4,0)))</f>
        <v/>
      </c>
      <c r="H558" s="293" t="str">
        <f ca="1">IF(ISERROR($S558),"",OFFSET('Smelter Reference List'!$G$4,$S558-4,0))</f>
        <v/>
      </c>
      <c r="I558" s="294" t="str">
        <f ca="1">IF(ISERROR($S558),"",OFFSET('Smelter Reference List'!$H$4,$S558-4,0))</f>
        <v/>
      </c>
      <c r="J558" s="294" t="str">
        <f ca="1">IF(ISERROR($S558),"",OFFSET('Smelter Reference List'!$I$4,$S558-4,0))</f>
        <v/>
      </c>
      <c r="K558" s="295"/>
      <c r="L558" s="295"/>
      <c r="M558" s="295"/>
      <c r="N558" s="295"/>
      <c r="O558" s="295"/>
      <c r="P558" s="295"/>
      <c r="Q558" s="296"/>
      <c r="R558" s="227"/>
      <c r="S558" s="228" t="e">
        <f>IF(C558="",NA(),MATCH($B558&amp;$C558,'Smelter Reference List'!$J:$J,0))</f>
        <v>#N/A</v>
      </c>
      <c r="T558" s="229"/>
      <c r="U558" s="229">
        <f t="shared" ca="1" si="18"/>
        <v>0</v>
      </c>
      <c r="V558" s="229"/>
      <c r="W558" s="229"/>
      <c r="Y558" s="223" t="str">
        <f t="shared" si="19"/>
        <v/>
      </c>
    </row>
    <row r="559" spans="1:25" s="223" customFormat="1" ht="20.25">
      <c r="A559" s="291"/>
      <c r="B559" s="292" t="str">
        <f>IF(LEN(A559)=0,"",INDEX('Smelter Reference List'!$A:$A,MATCH($A559,'Smelter Reference List'!$E:$E,0)))</f>
        <v/>
      </c>
      <c r="C559" s="298" t="str">
        <f>IF(LEN(A559)=0,"",INDEX('Smelter Reference List'!$C:$C,MATCH($A559,'Smelter Reference List'!$E:$E,0)))</f>
        <v/>
      </c>
      <c r="D559" s="292" t="str">
        <f ca="1">IF(ISERROR($S559),"",OFFSET('Smelter Reference List'!$C$4,$S559-4,0)&amp;"")</f>
        <v/>
      </c>
      <c r="E559" s="292" t="str">
        <f ca="1">IF(ISERROR($S559),"",OFFSET('Smelter Reference List'!$D$4,$S559-4,0)&amp;"")</f>
        <v/>
      </c>
      <c r="F559" s="292" t="str">
        <f ca="1">IF(ISERROR($S559),"",OFFSET('Smelter Reference List'!$E$4,$S559-4,0))</f>
        <v/>
      </c>
      <c r="G559" s="292" t="str">
        <f ca="1">IF(C559=$U$4,"Enter smelter details", IF(ISERROR($S559),"",OFFSET('Smelter Reference List'!$F$4,$S559-4,0)))</f>
        <v/>
      </c>
      <c r="H559" s="293" t="str">
        <f ca="1">IF(ISERROR($S559),"",OFFSET('Smelter Reference List'!$G$4,$S559-4,0))</f>
        <v/>
      </c>
      <c r="I559" s="294" t="str">
        <f ca="1">IF(ISERROR($S559),"",OFFSET('Smelter Reference List'!$H$4,$S559-4,0))</f>
        <v/>
      </c>
      <c r="J559" s="294" t="str">
        <f ca="1">IF(ISERROR($S559),"",OFFSET('Smelter Reference List'!$I$4,$S559-4,0))</f>
        <v/>
      </c>
      <c r="K559" s="295"/>
      <c r="L559" s="295"/>
      <c r="M559" s="295"/>
      <c r="N559" s="295"/>
      <c r="O559" s="295"/>
      <c r="P559" s="295"/>
      <c r="Q559" s="296"/>
      <c r="R559" s="227"/>
      <c r="S559" s="228" t="e">
        <f>IF(C559="",NA(),MATCH($B559&amp;$C559,'Smelter Reference List'!$J:$J,0))</f>
        <v>#N/A</v>
      </c>
      <c r="T559" s="229"/>
      <c r="U559" s="229">
        <f t="shared" ca="1" si="18"/>
        <v>0</v>
      </c>
      <c r="V559" s="229"/>
      <c r="W559" s="229"/>
      <c r="Y559" s="223" t="str">
        <f t="shared" si="19"/>
        <v/>
      </c>
    </row>
    <row r="560" spans="1:25" s="223" customFormat="1" ht="20.25">
      <c r="A560" s="291"/>
      <c r="B560" s="292" t="str">
        <f>IF(LEN(A560)=0,"",INDEX('Smelter Reference List'!$A:$A,MATCH($A560,'Smelter Reference List'!$E:$E,0)))</f>
        <v/>
      </c>
      <c r="C560" s="298" t="str">
        <f>IF(LEN(A560)=0,"",INDEX('Smelter Reference List'!$C:$C,MATCH($A560,'Smelter Reference List'!$E:$E,0)))</f>
        <v/>
      </c>
      <c r="D560" s="292" t="str">
        <f ca="1">IF(ISERROR($S560),"",OFFSET('Smelter Reference List'!$C$4,$S560-4,0)&amp;"")</f>
        <v/>
      </c>
      <c r="E560" s="292" t="str">
        <f ca="1">IF(ISERROR($S560),"",OFFSET('Smelter Reference List'!$D$4,$S560-4,0)&amp;"")</f>
        <v/>
      </c>
      <c r="F560" s="292" t="str">
        <f ca="1">IF(ISERROR($S560),"",OFFSET('Smelter Reference List'!$E$4,$S560-4,0))</f>
        <v/>
      </c>
      <c r="G560" s="292" t="str">
        <f ca="1">IF(C560=$U$4,"Enter smelter details", IF(ISERROR($S560),"",OFFSET('Smelter Reference List'!$F$4,$S560-4,0)))</f>
        <v/>
      </c>
      <c r="H560" s="293" t="str">
        <f ca="1">IF(ISERROR($S560),"",OFFSET('Smelter Reference List'!$G$4,$S560-4,0))</f>
        <v/>
      </c>
      <c r="I560" s="294" t="str">
        <f ca="1">IF(ISERROR($S560),"",OFFSET('Smelter Reference List'!$H$4,$S560-4,0))</f>
        <v/>
      </c>
      <c r="J560" s="294" t="str">
        <f ca="1">IF(ISERROR($S560),"",OFFSET('Smelter Reference List'!$I$4,$S560-4,0))</f>
        <v/>
      </c>
      <c r="K560" s="295"/>
      <c r="L560" s="295"/>
      <c r="M560" s="295"/>
      <c r="N560" s="295"/>
      <c r="O560" s="295"/>
      <c r="P560" s="295"/>
      <c r="Q560" s="296"/>
      <c r="R560" s="227"/>
      <c r="S560" s="228" t="e">
        <f>IF(C560="",NA(),MATCH($B560&amp;$C560,'Smelter Reference List'!$J:$J,0))</f>
        <v>#N/A</v>
      </c>
      <c r="T560" s="229"/>
      <c r="U560" s="229">
        <f t="shared" ca="1" si="18"/>
        <v>0</v>
      </c>
      <c r="V560" s="229"/>
      <c r="W560" s="229"/>
      <c r="Y560" s="223" t="str">
        <f t="shared" si="19"/>
        <v/>
      </c>
    </row>
    <row r="561" spans="1:25" s="223" customFormat="1" ht="20.25">
      <c r="A561" s="291"/>
      <c r="B561" s="292" t="str">
        <f>IF(LEN(A561)=0,"",INDEX('Smelter Reference List'!$A:$A,MATCH($A561,'Smelter Reference List'!$E:$E,0)))</f>
        <v/>
      </c>
      <c r="C561" s="298" t="str">
        <f>IF(LEN(A561)=0,"",INDEX('Smelter Reference List'!$C:$C,MATCH($A561,'Smelter Reference List'!$E:$E,0)))</f>
        <v/>
      </c>
      <c r="D561" s="292" t="str">
        <f ca="1">IF(ISERROR($S561),"",OFFSET('Smelter Reference List'!$C$4,$S561-4,0)&amp;"")</f>
        <v/>
      </c>
      <c r="E561" s="292" t="str">
        <f ca="1">IF(ISERROR($S561),"",OFFSET('Smelter Reference List'!$D$4,$S561-4,0)&amp;"")</f>
        <v/>
      </c>
      <c r="F561" s="292" t="str">
        <f ca="1">IF(ISERROR($S561),"",OFFSET('Smelter Reference List'!$E$4,$S561-4,0))</f>
        <v/>
      </c>
      <c r="G561" s="292" t="str">
        <f ca="1">IF(C561=$U$4,"Enter smelter details", IF(ISERROR($S561),"",OFFSET('Smelter Reference List'!$F$4,$S561-4,0)))</f>
        <v/>
      </c>
      <c r="H561" s="293" t="str">
        <f ca="1">IF(ISERROR($S561),"",OFFSET('Smelter Reference List'!$G$4,$S561-4,0))</f>
        <v/>
      </c>
      <c r="I561" s="294" t="str">
        <f ca="1">IF(ISERROR($S561),"",OFFSET('Smelter Reference List'!$H$4,$S561-4,0))</f>
        <v/>
      </c>
      <c r="J561" s="294" t="str">
        <f ca="1">IF(ISERROR($S561),"",OFFSET('Smelter Reference List'!$I$4,$S561-4,0))</f>
        <v/>
      </c>
      <c r="K561" s="295"/>
      <c r="L561" s="295"/>
      <c r="M561" s="295"/>
      <c r="N561" s="295"/>
      <c r="O561" s="295"/>
      <c r="P561" s="295"/>
      <c r="Q561" s="296"/>
      <c r="R561" s="227"/>
      <c r="S561" s="228" t="e">
        <f>IF(C561="",NA(),MATCH($B561&amp;$C561,'Smelter Reference List'!$J:$J,0))</f>
        <v>#N/A</v>
      </c>
      <c r="T561" s="229"/>
      <c r="U561" s="229">
        <f t="shared" ca="1" si="18"/>
        <v>0</v>
      </c>
      <c r="V561" s="229"/>
      <c r="W561" s="229"/>
      <c r="Y561" s="223" t="str">
        <f t="shared" si="19"/>
        <v/>
      </c>
    </row>
    <row r="562" spans="1:25" s="223" customFormat="1" ht="20.25">
      <c r="A562" s="291"/>
      <c r="B562" s="292" t="str">
        <f>IF(LEN(A562)=0,"",INDEX('Smelter Reference List'!$A:$A,MATCH($A562,'Smelter Reference List'!$E:$E,0)))</f>
        <v/>
      </c>
      <c r="C562" s="298" t="str">
        <f>IF(LEN(A562)=0,"",INDEX('Smelter Reference List'!$C:$C,MATCH($A562,'Smelter Reference List'!$E:$E,0)))</f>
        <v/>
      </c>
      <c r="D562" s="292" t="str">
        <f ca="1">IF(ISERROR($S562),"",OFFSET('Smelter Reference List'!$C$4,$S562-4,0)&amp;"")</f>
        <v/>
      </c>
      <c r="E562" s="292" t="str">
        <f ca="1">IF(ISERROR($S562),"",OFFSET('Smelter Reference List'!$D$4,$S562-4,0)&amp;"")</f>
        <v/>
      </c>
      <c r="F562" s="292" t="str">
        <f ca="1">IF(ISERROR($S562),"",OFFSET('Smelter Reference List'!$E$4,$S562-4,0))</f>
        <v/>
      </c>
      <c r="G562" s="292" t="str">
        <f ca="1">IF(C562=$U$4,"Enter smelter details", IF(ISERROR($S562),"",OFFSET('Smelter Reference List'!$F$4,$S562-4,0)))</f>
        <v/>
      </c>
      <c r="H562" s="293" t="str">
        <f ca="1">IF(ISERROR($S562),"",OFFSET('Smelter Reference List'!$G$4,$S562-4,0))</f>
        <v/>
      </c>
      <c r="I562" s="294" t="str">
        <f ca="1">IF(ISERROR($S562),"",OFFSET('Smelter Reference List'!$H$4,$S562-4,0))</f>
        <v/>
      </c>
      <c r="J562" s="294" t="str">
        <f ca="1">IF(ISERROR($S562),"",OFFSET('Smelter Reference List'!$I$4,$S562-4,0))</f>
        <v/>
      </c>
      <c r="K562" s="295"/>
      <c r="L562" s="295"/>
      <c r="M562" s="295"/>
      <c r="N562" s="295"/>
      <c r="O562" s="295"/>
      <c r="P562" s="295"/>
      <c r="Q562" s="296"/>
      <c r="R562" s="227"/>
      <c r="S562" s="228" t="e">
        <f>IF(C562="",NA(),MATCH($B562&amp;$C562,'Smelter Reference List'!$J:$J,0))</f>
        <v>#N/A</v>
      </c>
      <c r="T562" s="229"/>
      <c r="U562" s="229">
        <f t="shared" ca="1" si="18"/>
        <v>0</v>
      </c>
      <c r="V562" s="229"/>
      <c r="W562" s="229"/>
      <c r="Y562" s="223" t="str">
        <f t="shared" si="19"/>
        <v/>
      </c>
    </row>
    <row r="563" spans="1:25" s="223" customFormat="1" ht="20.25">
      <c r="A563" s="291"/>
      <c r="B563" s="292" t="str">
        <f>IF(LEN(A563)=0,"",INDEX('Smelter Reference List'!$A:$A,MATCH($A563,'Smelter Reference List'!$E:$E,0)))</f>
        <v/>
      </c>
      <c r="C563" s="298" t="str">
        <f>IF(LEN(A563)=0,"",INDEX('Smelter Reference List'!$C:$C,MATCH($A563,'Smelter Reference List'!$E:$E,0)))</f>
        <v/>
      </c>
      <c r="D563" s="292" t="str">
        <f ca="1">IF(ISERROR($S563),"",OFFSET('Smelter Reference List'!$C$4,$S563-4,0)&amp;"")</f>
        <v/>
      </c>
      <c r="E563" s="292" t="str">
        <f ca="1">IF(ISERROR($S563),"",OFFSET('Smelter Reference List'!$D$4,$S563-4,0)&amp;"")</f>
        <v/>
      </c>
      <c r="F563" s="292" t="str">
        <f ca="1">IF(ISERROR($S563),"",OFFSET('Smelter Reference List'!$E$4,$S563-4,0))</f>
        <v/>
      </c>
      <c r="G563" s="292" t="str">
        <f ca="1">IF(C563=$U$4,"Enter smelter details", IF(ISERROR($S563),"",OFFSET('Smelter Reference List'!$F$4,$S563-4,0)))</f>
        <v/>
      </c>
      <c r="H563" s="293" t="str">
        <f ca="1">IF(ISERROR($S563),"",OFFSET('Smelter Reference List'!$G$4,$S563-4,0))</f>
        <v/>
      </c>
      <c r="I563" s="294" t="str">
        <f ca="1">IF(ISERROR($S563),"",OFFSET('Smelter Reference List'!$H$4,$S563-4,0))</f>
        <v/>
      </c>
      <c r="J563" s="294" t="str">
        <f ca="1">IF(ISERROR($S563),"",OFFSET('Smelter Reference List'!$I$4,$S563-4,0))</f>
        <v/>
      </c>
      <c r="K563" s="295"/>
      <c r="L563" s="295"/>
      <c r="M563" s="295"/>
      <c r="N563" s="295"/>
      <c r="O563" s="295"/>
      <c r="P563" s="295"/>
      <c r="Q563" s="296"/>
      <c r="R563" s="227"/>
      <c r="S563" s="228" t="e">
        <f>IF(C563="",NA(),MATCH($B563&amp;$C563,'Smelter Reference List'!$J:$J,0))</f>
        <v>#N/A</v>
      </c>
      <c r="T563" s="229"/>
      <c r="U563" s="229">
        <f t="shared" ca="1" si="18"/>
        <v>0</v>
      </c>
      <c r="V563" s="229"/>
      <c r="W563" s="229"/>
      <c r="Y563" s="223" t="str">
        <f t="shared" si="19"/>
        <v/>
      </c>
    </row>
    <row r="564" spans="1:25" s="223" customFormat="1" ht="20.25">
      <c r="A564" s="291"/>
      <c r="B564" s="292" t="str">
        <f>IF(LEN(A564)=0,"",INDEX('Smelter Reference List'!$A:$A,MATCH($A564,'Smelter Reference List'!$E:$E,0)))</f>
        <v/>
      </c>
      <c r="C564" s="298" t="str">
        <f>IF(LEN(A564)=0,"",INDEX('Smelter Reference List'!$C:$C,MATCH($A564,'Smelter Reference List'!$E:$E,0)))</f>
        <v/>
      </c>
      <c r="D564" s="292" t="str">
        <f ca="1">IF(ISERROR($S564),"",OFFSET('Smelter Reference List'!$C$4,$S564-4,0)&amp;"")</f>
        <v/>
      </c>
      <c r="E564" s="292" t="str">
        <f ca="1">IF(ISERROR($S564),"",OFFSET('Smelter Reference List'!$D$4,$S564-4,0)&amp;"")</f>
        <v/>
      </c>
      <c r="F564" s="292" t="str">
        <f ca="1">IF(ISERROR($S564),"",OFFSET('Smelter Reference List'!$E$4,$S564-4,0))</f>
        <v/>
      </c>
      <c r="G564" s="292" t="str">
        <f ca="1">IF(C564=$U$4,"Enter smelter details", IF(ISERROR($S564),"",OFFSET('Smelter Reference List'!$F$4,$S564-4,0)))</f>
        <v/>
      </c>
      <c r="H564" s="293" t="str">
        <f ca="1">IF(ISERROR($S564),"",OFFSET('Smelter Reference List'!$G$4,$S564-4,0))</f>
        <v/>
      </c>
      <c r="I564" s="294" t="str">
        <f ca="1">IF(ISERROR($S564),"",OFFSET('Smelter Reference List'!$H$4,$S564-4,0))</f>
        <v/>
      </c>
      <c r="J564" s="294" t="str">
        <f ca="1">IF(ISERROR($S564),"",OFFSET('Smelter Reference List'!$I$4,$S564-4,0))</f>
        <v/>
      </c>
      <c r="K564" s="295"/>
      <c r="L564" s="295"/>
      <c r="M564" s="295"/>
      <c r="N564" s="295"/>
      <c r="O564" s="295"/>
      <c r="P564" s="295"/>
      <c r="Q564" s="296"/>
      <c r="R564" s="227"/>
      <c r="S564" s="228" t="e">
        <f>IF(C564="",NA(),MATCH($B564&amp;$C564,'Smelter Reference List'!$J:$J,0))</f>
        <v>#N/A</v>
      </c>
      <c r="T564" s="229"/>
      <c r="U564" s="229">
        <f t="shared" ca="1" si="18"/>
        <v>0</v>
      </c>
      <c r="V564" s="229"/>
      <c r="W564" s="229"/>
      <c r="Y564" s="223" t="str">
        <f t="shared" si="19"/>
        <v/>
      </c>
    </row>
    <row r="565" spans="1:25" s="223" customFormat="1" ht="20.25">
      <c r="A565" s="291"/>
      <c r="B565" s="292" t="str">
        <f>IF(LEN(A565)=0,"",INDEX('Smelter Reference List'!$A:$A,MATCH($A565,'Smelter Reference List'!$E:$E,0)))</f>
        <v/>
      </c>
      <c r="C565" s="298" t="str">
        <f>IF(LEN(A565)=0,"",INDEX('Smelter Reference List'!$C:$C,MATCH($A565,'Smelter Reference List'!$E:$E,0)))</f>
        <v/>
      </c>
      <c r="D565" s="292" t="str">
        <f ca="1">IF(ISERROR($S565),"",OFFSET('Smelter Reference List'!$C$4,$S565-4,0)&amp;"")</f>
        <v/>
      </c>
      <c r="E565" s="292" t="str">
        <f ca="1">IF(ISERROR($S565),"",OFFSET('Smelter Reference List'!$D$4,$S565-4,0)&amp;"")</f>
        <v/>
      </c>
      <c r="F565" s="292" t="str">
        <f ca="1">IF(ISERROR($S565),"",OFFSET('Smelter Reference List'!$E$4,$S565-4,0))</f>
        <v/>
      </c>
      <c r="G565" s="292" t="str">
        <f ca="1">IF(C565=$U$4,"Enter smelter details", IF(ISERROR($S565),"",OFFSET('Smelter Reference List'!$F$4,$S565-4,0)))</f>
        <v/>
      </c>
      <c r="H565" s="293" t="str">
        <f ca="1">IF(ISERROR($S565),"",OFFSET('Smelter Reference List'!$G$4,$S565-4,0))</f>
        <v/>
      </c>
      <c r="I565" s="294" t="str">
        <f ca="1">IF(ISERROR($S565),"",OFFSET('Smelter Reference List'!$H$4,$S565-4,0))</f>
        <v/>
      </c>
      <c r="J565" s="294" t="str">
        <f ca="1">IF(ISERROR($S565),"",OFFSET('Smelter Reference List'!$I$4,$S565-4,0))</f>
        <v/>
      </c>
      <c r="K565" s="295"/>
      <c r="L565" s="295"/>
      <c r="M565" s="295"/>
      <c r="N565" s="295"/>
      <c r="O565" s="295"/>
      <c r="P565" s="295"/>
      <c r="Q565" s="296"/>
      <c r="R565" s="227"/>
      <c r="S565" s="228" t="e">
        <f>IF(C565="",NA(),MATCH($B565&amp;$C565,'Smelter Reference List'!$J:$J,0))</f>
        <v>#N/A</v>
      </c>
      <c r="T565" s="229"/>
      <c r="U565" s="229">
        <f t="shared" ca="1" si="18"/>
        <v>0</v>
      </c>
      <c r="V565" s="229"/>
      <c r="W565" s="229"/>
      <c r="Y565" s="223" t="str">
        <f t="shared" si="19"/>
        <v/>
      </c>
    </row>
    <row r="566" spans="1:25" s="223" customFormat="1" ht="20.25">
      <c r="A566" s="291"/>
      <c r="B566" s="292" t="str">
        <f>IF(LEN(A566)=0,"",INDEX('Smelter Reference List'!$A:$A,MATCH($A566,'Smelter Reference List'!$E:$E,0)))</f>
        <v/>
      </c>
      <c r="C566" s="298" t="str">
        <f>IF(LEN(A566)=0,"",INDEX('Smelter Reference List'!$C:$C,MATCH($A566,'Smelter Reference List'!$E:$E,0)))</f>
        <v/>
      </c>
      <c r="D566" s="292" t="str">
        <f ca="1">IF(ISERROR($S566),"",OFFSET('Smelter Reference List'!$C$4,$S566-4,0)&amp;"")</f>
        <v/>
      </c>
      <c r="E566" s="292" t="str">
        <f ca="1">IF(ISERROR($S566),"",OFFSET('Smelter Reference List'!$D$4,$S566-4,0)&amp;"")</f>
        <v/>
      </c>
      <c r="F566" s="292" t="str">
        <f ca="1">IF(ISERROR($S566),"",OFFSET('Smelter Reference List'!$E$4,$S566-4,0))</f>
        <v/>
      </c>
      <c r="G566" s="292" t="str">
        <f ca="1">IF(C566=$U$4,"Enter smelter details", IF(ISERROR($S566),"",OFFSET('Smelter Reference List'!$F$4,$S566-4,0)))</f>
        <v/>
      </c>
      <c r="H566" s="293" t="str">
        <f ca="1">IF(ISERROR($S566),"",OFFSET('Smelter Reference List'!$G$4,$S566-4,0))</f>
        <v/>
      </c>
      <c r="I566" s="294" t="str">
        <f ca="1">IF(ISERROR($S566),"",OFFSET('Smelter Reference List'!$H$4,$S566-4,0))</f>
        <v/>
      </c>
      <c r="J566" s="294" t="str">
        <f ca="1">IF(ISERROR($S566),"",OFFSET('Smelter Reference List'!$I$4,$S566-4,0))</f>
        <v/>
      </c>
      <c r="K566" s="295"/>
      <c r="L566" s="295"/>
      <c r="M566" s="295"/>
      <c r="N566" s="295"/>
      <c r="O566" s="295"/>
      <c r="P566" s="295"/>
      <c r="Q566" s="296"/>
      <c r="R566" s="227"/>
      <c r="S566" s="228" t="e">
        <f>IF(C566="",NA(),MATCH($B566&amp;$C566,'Smelter Reference List'!$J:$J,0))</f>
        <v>#N/A</v>
      </c>
      <c r="T566" s="229"/>
      <c r="U566" s="229">
        <f t="shared" ca="1" si="18"/>
        <v>0</v>
      </c>
      <c r="V566" s="229"/>
      <c r="W566" s="229"/>
      <c r="Y566" s="223" t="str">
        <f t="shared" si="19"/>
        <v/>
      </c>
    </row>
    <row r="567" spans="1:25" s="223" customFormat="1" ht="20.25">
      <c r="A567" s="291"/>
      <c r="B567" s="292" t="str">
        <f>IF(LEN(A567)=0,"",INDEX('Smelter Reference List'!$A:$A,MATCH($A567,'Smelter Reference List'!$E:$E,0)))</f>
        <v/>
      </c>
      <c r="C567" s="298" t="str">
        <f>IF(LEN(A567)=0,"",INDEX('Smelter Reference List'!$C:$C,MATCH($A567,'Smelter Reference List'!$E:$E,0)))</f>
        <v/>
      </c>
      <c r="D567" s="292" t="str">
        <f ca="1">IF(ISERROR($S567),"",OFFSET('Smelter Reference List'!$C$4,$S567-4,0)&amp;"")</f>
        <v/>
      </c>
      <c r="E567" s="292" t="str">
        <f ca="1">IF(ISERROR($S567),"",OFFSET('Smelter Reference List'!$D$4,$S567-4,0)&amp;"")</f>
        <v/>
      </c>
      <c r="F567" s="292" t="str">
        <f ca="1">IF(ISERROR($S567),"",OFFSET('Smelter Reference List'!$E$4,$S567-4,0))</f>
        <v/>
      </c>
      <c r="G567" s="292" t="str">
        <f ca="1">IF(C567=$U$4,"Enter smelter details", IF(ISERROR($S567),"",OFFSET('Smelter Reference List'!$F$4,$S567-4,0)))</f>
        <v/>
      </c>
      <c r="H567" s="293" t="str">
        <f ca="1">IF(ISERROR($S567),"",OFFSET('Smelter Reference List'!$G$4,$S567-4,0))</f>
        <v/>
      </c>
      <c r="I567" s="294" t="str">
        <f ca="1">IF(ISERROR($S567),"",OFFSET('Smelter Reference List'!$H$4,$S567-4,0))</f>
        <v/>
      </c>
      <c r="J567" s="294" t="str">
        <f ca="1">IF(ISERROR($S567),"",OFFSET('Smelter Reference List'!$I$4,$S567-4,0))</f>
        <v/>
      </c>
      <c r="K567" s="295"/>
      <c r="L567" s="295"/>
      <c r="M567" s="295"/>
      <c r="N567" s="295"/>
      <c r="O567" s="295"/>
      <c r="P567" s="295"/>
      <c r="Q567" s="296"/>
      <c r="R567" s="227"/>
      <c r="S567" s="228" t="e">
        <f>IF(C567="",NA(),MATCH($B567&amp;$C567,'Smelter Reference List'!$J:$J,0))</f>
        <v>#N/A</v>
      </c>
      <c r="T567" s="229"/>
      <c r="U567" s="229">
        <f t="shared" ca="1" si="18"/>
        <v>0</v>
      </c>
      <c r="V567" s="229"/>
      <c r="W567" s="229"/>
      <c r="Y567" s="223" t="str">
        <f t="shared" si="19"/>
        <v/>
      </c>
    </row>
    <row r="568" spans="1:25" s="223" customFormat="1" ht="20.25">
      <c r="A568" s="291"/>
      <c r="B568" s="292" t="str">
        <f>IF(LEN(A568)=0,"",INDEX('Smelter Reference List'!$A:$A,MATCH($A568,'Smelter Reference List'!$E:$E,0)))</f>
        <v/>
      </c>
      <c r="C568" s="298" t="str">
        <f>IF(LEN(A568)=0,"",INDEX('Smelter Reference List'!$C:$C,MATCH($A568,'Smelter Reference List'!$E:$E,0)))</f>
        <v/>
      </c>
      <c r="D568" s="292" t="str">
        <f ca="1">IF(ISERROR($S568),"",OFFSET('Smelter Reference List'!$C$4,$S568-4,0)&amp;"")</f>
        <v/>
      </c>
      <c r="E568" s="292" t="str">
        <f ca="1">IF(ISERROR($S568),"",OFFSET('Smelter Reference List'!$D$4,$S568-4,0)&amp;"")</f>
        <v/>
      </c>
      <c r="F568" s="292" t="str">
        <f ca="1">IF(ISERROR($S568),"",OFFSET('Smelter Reference List'!$E$4,$S568-4,0))</f>
        <v/>
      </c>
      <c r="G568" s="292" t="str">
        <f ca="1">IF(C568=$U$4,"Enter smelter details", IF(ISERROR($S568),"",OFFSET('Smelter Reference List'!$F$4,$S568-4,0)))</f>
        <v/>
      </c>
      <c r="H568" s="293" t="str">
        <f ca="1">IF(ISERROR($S568),"",OFFSET('Smelter Reference List'!$G$4,$S568-4,0))</f>
        <v/>
      </c>
      <c r="I568" s="294" t="str">
        <f ca="1">IF(ISERROR($S568),"",OFFSET('Smelter Reference List'!$H$4,$S568-4,0))</f>
        <v/>
      </c>
      <c r="J568" s="294" t="str">
        <f ca="1">IF(ISERROR($S568),"",OFFSET('Smelter Reference List'!$I$4,$S568-4,0))</f>
        <v/>
      </c>
      <c r="K568" s="295"/>
      <c r="L568" s="295"/>
      <c r="M568" s="295"/>
      <c r="N568" s="295"/>
      <c r="O568" s="295"/>
      <c r="P568" s="295"/>
      <c r="Q568" s="296"/>
      <c r="R568" s="227"/>
      <c r="S568" s="228" t="e">
        <f>IF(C568="",NA(),MATCH($B568&amp;$C568,'Smelter Reference List'!$J:$J,0))</f>
        <v>#N/A</v>
      </c>
      <c r="T568" s="229"/>
      <c r="U568" s="229">
        <f t="shared" ca="1" si="18"/>
        <v>0</v>
      </c>
      <c r="V568" s="229"/>
      <c r="W568" s="229"/>
      <c r="Y568" s="223" t="str">
        <f t="shared" si="19"/>
        <v/>
      </c>
    </row>
    <row r="569" spans="1:25" s="223" customFormat="1" ht="20.25">
      <c r="A569" s="291"/>
      <c r="B569" s="292" t="str">
        <f>IF(LEN(A569)=0,"",INDEX('Smelter Reference List'!$A:$A,MATCH($A569,'Smelter Reference List'!$E:$E,0)))</f>
        <v/>
      </c>
      <c r="C569" s="298" t="str">
        <f>IF(LEN(A569)=0,"",INDEX('Smelter Reference List'!$C:$C,MATCH($A569,'Smelter Reference List'!$E:$E,0)))</f>
        <v/>
      </c>
      <c r="D569" s="292" t="str">
        <f ca="1">IF(ISERROR($S569),"",OFFSET('Smelter Reference List'!$C$4,$S569-4,0)&amp;"")</f>
        <v/>
      </c>
      <c r="E569" s="292" t="str">
        <f ca="1">IF(ISERROR($S569),"",OFFSET('Smelter Reference List'!$D$4,$S569-4,0)&amp;"")</f>
        <v/>
      </c>
      <c r="F569" s="292" t="str">
        <f ca="1">IF(ISERROR($S569),"",OFFSET('Smelter Reference List'!$E$4,$S569-4,0))</f>
        <v/>
      </c>
      <c r="G569" s="292" t="str">
        <f ca="1">IF(C569=$U$4,"Enter smelter details", IF(ISERROR($S569),"",OFFSET('Smelter Reference List'!$F$4,$S569-4,0)))</f>
        <v/>
      </c>
      <c r="H569" s="293" t="str">
        <f ca="1">IF(ISERROR($S569),"",OFFSET('Smelter Reference List'!$G$4,$S569-4,0))</f>
        <v/>
      </c>
      <c r="I569" s="294" t="str">
        <f ca="1">IF(ISERROR($S569),"",OFFSET('Smelter Reference List'!$H$4,$S569-4,0))</f>
        <v/>
      </c>
      <c r="J569" s="294" t="str">
        <f ca="1">IF(ISERROR($S569),"",OFFSET('Smelter Reference List'!$I$4,$S569-4,0))</f>
        <v/>
      </c>
      <c r="K569" s="295"/>
      <c r="L569" s="295"/>
      <c r="M569" s="295"/>
      <c r="N569" s="295"/>
      <c r="O569" s="295"/>
      <c r="P569" s="295"/>
      <c r="Q569" s="296"/>
      <c r="R569" s="227"/>
      <c r="S569" s="228" t="e">
        <f>IF(C569="",NA(),MATCH($B569&amp;$C569,'Smelter Reference List'!$J:$J,0))</f>
        <v>#N/A</v>
      </c>
      <c r="T569" s="229"/>
      <c r="U569" s="229">
        <f t="shared" ca="1" si="18"/>
        <v>0</v>
      </c>
      <c r="V569" s="229"/>
      <c r="W569" s="229"/>
      <c r="Y569" s="223" t="str">
        <f t="shared" si="19"/>
        <v/>
      </c>
    </row>
    <row r="570" spans="1:25" s="223" customFormat="1" ht="20.25">
      <c r="A570" s="291"/>
      <c r="B570" s="292" t="str">
        <f>IF(LEN(A570)=0,"",INDEX('Smelter Reference List'!$A:$A,MATCH($A570,'Smelter Reference List'!$E:$E,0)))</f>
        <v/>
      </c>
      <c r="C570" s="298" t="str">
        <f>IF(LEN(A570)=0,"",INDEX('Smelter Reference List'!$C:$C,MATCH($A570,'Smelter Reference List'!$E:$E,0)))</f>
        <v/>
      </c>
      <c r="D570" s="292" t="str">
        <f ca="1">IF(ISERROR($S570),"",OFFSET('Smelter Reference List'!$C$4,$S570-4,0)&amp;"")</f>
        <v/>
      </c>
      <c r="E570" s="292" t="str">
        <f ca="1">IF(ISERROR($S570),"",OFFSET('Smelter Reference List'!$D$4,$S570-4,0)&amp;"")</f>
        <v/>
      </c>
      <c r="F570" s="292" t="str">
        <f ca="1">IF(ISERROR($S570),"",OFFSET('Smelter Reference List'!$E$4,$S570-4,0))</f>
        <v/>
      </c>
      <c r="G570" s="292" t="str">
        <f ca="1">IF(C570=$U$4,"Enter smelter details", IF(ISERROR($S570),"",OFFSET('Smelter Reference List'!$F$4,$S570-4,0)))</f>
        <v/>
      </c>
      <c r="H570" s="293" t="str">
        <f ca="1">IF(ISERROR($S570),"",OFFSET('Smelter Reference List'!$G$4,$S570-4,0))</f>
        <v/>
      </c>
      <c r="I570" s="294" t="str">
        <f ca="1">IF(ISERROR($S570),"",OFFSET('Smelter Reference List'!$H$4,$S570-4,0))</f>
        <v/>
      </c>
      <c r="J570" s="294" t="str">
        <f ca="1">IF(ISERROR($S570),"",OFFSET('Smelter Reference List'!$I$4,$S570-4,0))</f>
        <v/>
      </c>
      <c r="K570" s="295"/>
      <c r="L570" s="295"/>
      <c r="M570" s="295"/>
      <c r="N570" s="295"/>
      <c r="O570" s="295"/>
      <c r="P570" s="295"/>
      <c r="Q570" s="296"/>
      <c r="R570" s="227"/>
      <c r="S570" s="228" t="e">
        <f>IF(C570="",NA(),MATCH($B570&amp;$C570,'Smelter Reference List'!$J:$J,0))</f>
        <v>#N/A</v>
      </c>
      <c r="T570" s="229"/>
      <c r="U570" s="229">
        <f t="shared" ca="1" si="18"/>
        <v>0</v>
      </c>
      <c r="V570" s="229"/>
      <c r="W570" s="229"/>
      <c r="Y570" s="223" t="str">
        <f t="shared" si="19"/>
        <v/>
      </c>
    </row>
    <row r="571" spans="1:25" s="223" customFormat="1" ht="20.25">
      <c r="A571" s="291"/>
      <c r="B571" s="292" t="str">
        <f>IF(LEN(A571)=0,"",INDEX('Smelter Reference List'!$A:$A,MATCH($A571,'Smelter Reference List'!$E:$E,0)))</f>
        <v/>
      </c>
      <c r="C571" s="298" t="str">
        <f>IF(LEN(A571)=0,"",INDEX('Smelter Reference List'!$C:$C,MATCH($A571,'Smelter Reference List'!$E:$E,0)))</f>
        <v/>
      </c>
      <c r="D571" s="292" t="str">
        <f ca="1">IF(ISERROR($S571),"",OFFSET('Smelter Reference List'!$C$4,$S571-4,0)&amp;"")</f>
        <v/>
      </c>
      <c r="E571" s="292" t="str">
        <f ca="1">IF(ISERROR($S571),"",OFFSET('Smelter Reference List'!$D$4,$S571-4,0)&amp;"")</f>
        <v/>
      </c>
      <c r="F571" s="292" t="str">
        <f ca="1">IF(ISERROR($S571),"",OFFSET('Smelter Reference List'!$E$4,$S571-4,0))</f>
        <v/>
      </c>
      <c r="G571" s="292" t="str">
        <f ca="1">IF(C571=$U$4,"Enter smelter details", IF(ISERROR($S571),"",OFFSET('Smelter Reference List'!$F$4,$S571-4,0)))</f>
        <v/>
      </c>
      <c r="H571" s="293" t="str">
        <f ca="1">IF(ISERROR($S571),"",OFFSET('Smelter Reference List'!$G$4,$S571-4,0))</f>
        <v/>
      </c>
      <c r="I571" s="294" t="str">
        <f ca="1">IF(ISERROR($S571),"",OFFSET('Smelter Reference List'!$H$4,$S571-4,0))</f>
        <v/>
      </c>
      <c r="J571" s="294" t="str">
        <f ca="1">IF(ISERROR($S571),"",OFFSET('Smelter Reference List'!$I$4,$S571-4,0))</f>
        <v/>
      </c>
      <c r="K571" s="295"/>
      <c r="L571" s="295"/>
      <c r="M571" s="295"/>
      <c r="N571" s="295"/>
      <c r="O571" s="295"/>
      <c r="P571" s="295"/>
      <c r="Q571" s="296"/>
      <c r="R571" s="227"/>
      <c r="S571" s="228" t="e">
        <f>IF(C571="",NA(),MATCH($B571&amp;$C571,'Smelter Reference List'!$J:$J,0))</f>
        <v>#N/A</v>
      </c>
      <c r="T571" s="229"/>
      <c r="U571" s="229">
        <f t="shared" ca="1" si="18"/>
        <v>0</v>
      </c>
      <c r="V571" s="229"/>
      <c r="W571" s="229"/>
      <c r="Y571" s="223" t="str">
        <f t="shared" si="19"/>
        <v/>
      </c>
    </row>
    <row r="572" spans="1:25" s="223" customFormat="1" ht="20.25">
      <c r="A572" s="291"/>
      <c r="B572" s="292" t="str">
        <f>IF(LEN(A572)=0,"",INDEX('Smelter Reference List'!$A:$A,MATCH($A572,'Smelter Reference List'!$E:$E,0)))</f>
        <v/>
      </c>
      <c r="C572" s="298" t="str">
        <f>IF(LEN(A572)=0,"",INDEX('Smelter Reference List'!$C:$C,MATCH($A572,'Smelter Reference List'!$E:$E,0)))</f>
        <v/>
      </c>
      <c r="D572" s="292" t="str">
        <f ca="1">IF(ISERROR($S572),"",OFFSET('Smelter Reference List'!$C$4,$S572-4,0)&amp;"")</f>
        <v/>
      </c>
      <c r="E572" s="292" t="str">
        <f ca="1">IF(ISERROR($S572),"",OFFSET('Smelter Reference List'!$D$4,$S572-4,0)&amp;"")</f>
        <v/>
      </c>
      <c r="F572" s="292" t="str">
        <f ca="1">IF(ISERROR($S572),"",OFFSET('Smelter Reference List'!$E$4,$S572-4,0))</f>
        <v/>
      </c>
      <c r="G572" s="292" t="str">
        <f ca="1">IF(C572=$U$4,"Enter smelter details", IF(ISERROR($S572),"",OFFSET('Smelter Reference List'!$F$4,$S572-4,0)))</f>
        <v/>
      </c>
      <c r="H572" s="293" t="str">
        <f ca="1">IF(ISERROR($S572),"",OFFSET('Smelter Reference List'!$G$4,$S572-4,0))</f>
        <v/>
      </c>
      <c r="I572" s="294" t="str">
        <f ca="1">IF(ISERROR($S572),"",OFFSET('Smelter Reference List'!$H$4,$S572-4,0))</f>
        <v/>
      </c>
      <c r="J572" s="294" t="str">
        <f ca="1">IF(ISERROR($S572),"",OFFSET('Smelter Reference List'!$I$4,$S572-4,0))</f>
        <v/>
      </c>
      <c r="K572" s="295"/>
      <c r="L572" s="295"/>
      <c r="M572" s="295"/>
      <c r="N572" s="295"/>
      <c r="O572" s="295"/>
      <c r="P572" s="295"/>
      <c r="Q572" s="296"/>
      <c r="R572" s="227"/>
      <c r="S572" s="228" t="e">
        <f>IF(C572="",NA(),MATCH($B572&amp;$C572,'Smelter Reference List'!$J:$J,0))</f>
        <v>#N/A</v>
      </c>
      <c r="T572" s="229"/>
      <c r="U572" s="229">
        <f t="shared" ca="1" si="18"/>
        <v>0</v>
      </c>
      <c r="V572" s="229"/>
      <c r="W572" s="229"/>
      <c r="Y572" s="223" t="str">
        <f t="shared" si="19"/>
        <v/>
      </c>
    </row>
    <row r="573" spans="1:25" s="223" customFormat="1" ht="20.25">
      <c r="A573" s="291"/>
      <c r="B573" s="292" t="str">
        <f>IF(LEN(A573)=0,"",INDEX('Smelter Reference List'!$A:$A,MATCH($A573,'Smelter Reference List'!$E:$E,0)))</f>
        <v/>
      </c>
      <c r="C573" s="298" t="str">
        <f>IF(LEN(A573)=0,"",INDEX('Smelter Reference List'!$C:$C,MATCH($A573,'Smelter Reference List'!$E:$E,0)))</f>
        <v/>
      </c>
      <c r="D573" s="292" t="str">
        <f ca="1">IF(ISERROR($S573),"",OFFSET('Smelter Reference List'!$C$4,$S573-4,0)&amp;"")</f>
        <v/>
      </c>
      <c r="E573" s="292" t="str">
        <f ca="1">IF(ISERROR($S573),"",OFFSET('Smelter Reference List'!$D$4,$S573-4,0)&amp;"")</f>
        <v/>
      </c>
      <c r="F573" s="292" t="str">
        <f ca="1">IF(ISERROR($S573),"",OFFSET('Smelter Reference List'!$E$4,$S573-4,0))</f>
        <v/>
      </c>
      <c r="G573" s="292" t="str">
        <f ca="1">IF(C573=$U$4,"Enter smelter details", IF(ISERROR($S573),"",OFFSET('Smelter Reference List'!$F$4,$S573-4,0)))</f>
        <v/>
      </c>
      <c r="H573" s="293" t="str">
        <f ca="1">IF(ISERROR($S573),"",OFFSET('Smelter Reference List'!$G$4,$S573-4,0))</f>
        <v/>
      </c>
      <c r="I573" s="294" t="str">
        <f ca="1">IF(ISERROR($S573),"",OFFSET('Smelter Reference List'!$H$4,$S573-4,0))</f>
        <v/>
      </c>
      <c r="J573" s="294" t="str">
        <f ca="1">IF(ISERROR($S573),"",OFFSET('Smelter Reference List'!$I$4,$S573-4,0))</f>
        <v/>
      </c>
      <c r="K573" s="295"/>
      <c r="L573" s="295"/>
      <c r="M573" s="295"/>
      <c r="N573" s="295"/>
      <c r="O573" s="295"/>
      <c r="P573" s="295"/>
      <c r="Q573" s="296"/>
      <c r="R573" s="227"/>
      <c r="S573" s="228" t="e">
        <f>IF(C573="",NA(),MATCH($B573&amp;$C573,'Smelter Reference List'!$J:$J,0))</f>
        <v>#N/A</v>
      </c>
      <c r="T573" s="229"/>
      <c r="U573" s="229">
        <f t="shared" ca="1" si="18"/>
        <v>0</v>
      </c>
      <c r="V573" s="229"/>
      <c r="W573" s="229"/>
      <c r="Y573" s="223" t="str">
        <f t="shared" si="19"/>
        <v/>
      </c>
    </row>
    <row r="574" spans="1:25" s="223" customFormat="1" ht="20.25">
      <c r="A574" s="291"/>
      <c r="B574" s="292" t="str">
        <f>IF(LEN(A574)=0,"",INDEX('Smelter Reference List'!$A:$A,MATCH($A574,'Smelter Reference List'!$E:$E,0)))</f>
        <v/>
      </c>
      <c r="C574" s="298" t="str">
        <f>IF(LEN(A574)=0,"",INDEX('Smelter Reference List'!$C:$C,MATCH($A574,'Smelter Reference List'!$E:$E,0)))</f>
        <v/>
      </c>
      <c r="D574" s="292" t="str">
        <f ca="1">IF(ISERROR($S574),"",OFFSET('Smelter Reference List'!$C$4,$S574-4,0)&amp;"")</f>
        <v/>
      </c>
      <c r="E574" s="292" t="str">
        <f ca="1">IF(ISERROR($S574),"",OFFSET('Smelter Reference List'!$D$4,$S574-4,0)&amp;"")</f>
        <v/>
      </c>
      <c r="F574" s="292" t="str">
        <f ca="1">IF(ISERROR($S574),"",OFFSET('Smelter Reference List'!$E$4,$S574-4,0))</f>
        <v/>
      </c>
      <c r="G574" s="292" t="str">
        <f ca="1">IF(C574=$U$4,"Enter smelter details", IF(ISERROR($S574),"",OFFSET('Smelter Reference List'!$F$4,$S574-4,0)))</f>
        <v/>
      </c>
      <c r="H574" s="293" t="str">
        <f ca="1">IF(ISERROR($S574),"",OFFSET('Smelter Reference List'!$G$4,$S574-4,0))</f>
        <v/>
      </c>
      <c r="I574" s="294" t="str">
        <f ca="1">IF(ISERROR($S574),"",OFFSET('Smelter Reference List'!$H$4,$S574-4,0))</f>
        <v/>
      </c>
      <c r="J574" s="294" t="str">
        <f ca="1">IF(ISERROR($S574),"",OFFSET('Smelter Reference List'!$I$4,$S574-4,0))</f>
        <v/>
      </c>
      <c r="K574" s="295"/>
      <c r="L574" s="295"/>
      <c r="M574" s="295"/>
      <c r="N574" s="295"/>
      <c r="O574" s="295"/>
      <c r="P574" s="295"/>
      <c r="Q574" s="296"/>
      <c r="R574" s="227"/>
      <c r="S574" s="228" t="e">
        <f>IF(C574="",NA(),MATCH($B574&amp;$C574,'Smelter Reference List'!$J:$J,0))</f>
        <v>#N/A</v>
      </c>
      <c r="T574" s="229"/>
      <c r="U574" s="229">
        <f t="shared" ca="1" si="18"/>
        <v>0</v>
      </c>
      <c r="V574" s="229"/>
      <c r="W574" s="229"/>
      <c r="Y574" s="223" t="str">
        <f t="shared" si="19"/>
        <v/>
      </c>
    </row>
    <row r="575" spans="1:25" s="223" customFormat="1" ht="20.25">
      <c r="A575" s="291"/>
      <c r="B575" s="292" t="str">
        <f>IF(LEN(A575)=0,"",INDEX('Smelter Reference List'!$A:$A,MATCH($A575,'Smelter Reference List'!$E:$E,0)))</f>
        <v/>
      </c>
      <c r="C575" s="298" t="str">
        <f>IF(LEN(A575)=0,"",INDEX('Smelter Reference List'!$C:$C,MATCH($A575,'Smelter Reference List'!$E:$E,0)))</f>
        <v/>
      </c>
      <c r="D575" s="292" t="str">
        <f ca="1">IF(ISERROR($S575),"",OFFSET('Smelter Reference List'!$C$4,$S575-4,0)&amp;"")</f>
        <v/>
      </c>
      <c r="E575" s="292" t="str">
        <f ca="1">IF(ISERROR($S575),"",OFFSET('Smelter Reference List'!$D$4,$S575-4,0)&amp;"")</f>
        <v/>
      </c>
      <c r="F575" s="292" t="str">
        <f ca="1">IF(ISERROR($S575),"",OFFSET('Smelter Reference List'!$E$4,$S575-4,0))</f>
        <v/>
      </c>
      <c r="G575" s="292" t="str">
        <f ca="1">IF(C575=$U$4,"Enter smelter details", IF(ISERROR($S575),"",OFFSET('Smelter Reference List'!$F$4,$S575-4,0)))</f>
        <v/>
      </c>
      <c r="H575" s="293" t="str">
        <f ca="1">IF(ISERROR($S575),"",OFFSET('Smelter Reference List'!$G$4,$S575-4,0))</f>
        <v/>
      </c>
      <c r="I575" s="294" t="str">
        <f ca="1">IF(ISERROR($S575),"",OFFSET('Smelter Reference List'!$H$4,$S575-4,0))</f>
        <v/>
      </c>
      <c r="J575" s="294" t="str">
        <f ca="1">IF(ISERROR($S575),"",OFFSET('Smelter Reference List'!$I$4,$S575-4,0))</f>
        <v/>
      </c>
      <c r="K575" s="295"/>
      <c r="L575" s="295"/>
      <c r="M575" s="295"/>
      <c r="N575" s="295"/>
      <c r="O575" s="295"/>
      <c r="P575" s="295"/>
      <c r="Q575" s="296"/>
      <c r="R575" s="227"/>
      <c r="S575" s="228" t="e">
        <f>IF(C575="",NA(),MATCH($B575&amp;$C575,'Smelter Reference List'!$J:$J,0))</f>
        <v>#N/A</v>
      </c>
      <c r="T575" s="229"/>
      <c r="U575" s="229">
        <f t="shared" ca="1" si="18"/>
        <v>0</v>
      </c>
      <c r="V575" s="229"/>
      <c r="W575" s="229"/>
      <c r="Y575" s="223" t="str">
        <f t="shared" si="19"/>
        <v/>
      </c>
    </row>
    <row r="576" spans="1:25" s="223" customFormat="1" ht="20.25">
      <c r="A576" s="291"/>
      <c r="B576" s="292" t="str">
        <f>IF(LEN(A576)=0,"",INDEX('Smelter Reference List'!$A:$A,MATCH($A576,'Smelter Reference List'!$E:$E,0)))</f>
        <v/>
      </c>
      <c r="C576" s="298" t="str">
        <f>IF(LEN(A576)=0,"",INDEX('Smelter Reference List'!$C:$C,MATCH($A576,'Smelter Reference List'!$E:$E,0)))</f>
        <v/>
      </c>
      <c r="D576" s="292" t="str">
        <f ca="1">IF(ISERROR($S576),"",OFFSET('Smelter Reference List'!$C$4,$S576-4,0)&amp;"")</f>
        <v/>
      </c>
      <c r="E576" s="292" t="str">
        <f ca="1">IF(ISERROR($S576),"",OFFSET('Smelter Reference List'!$D$4,$S576-4,0)&amp;"")</f>
        <v/>
      </c>
      <c r="F576" s="292" t="str">
        <f ca="1">IF(ISERROR($S576),"",OFFSET('Smelter Reference List'!$E$4,$S576-4,0))</f>
        <v/>
      </c>
      <c r="G576" s="292" t="str">
        <f ca="1">IF(C576=$U$4,"Enter smelter details", IF(ISERROR($S576),"",OFFSET('Smelter Reference List'!$F$4,$S576-4,0)))</f>
        <v/>
      </c>
      <c r="H576" s="293" t="str">
        <f ca="1">IF(ISERROR($S576),"",OFFSET('Smelter Reference List'!$G$4,$S576-4,0))</f>
        <v/>
      </c>
      <c r="I576" s="294" t="str">
        <f ca="1">IF(ISERROR($S576),"",OFFSET('Smelter Reference List'!$H$4,$S576-4,0))</f>
        <v/>
      </c>
      <c r="J576" s="294" t="str">
        <f ca="1">IF(ISERROR($S576),"",OFFSET('Smelter Reference List'!$I$4,$S576-4,0))</f>
        <v/>
      </c>
      <c r="K576" s="295"/>
      <c r="L576" s="295"/>
      <c r="M576" s="295"/>
      <c r="N576" s="295"/>
      <c r="O576" s="295"/>
      <c r="P576" s="295"/>
      <c r="Q576" s="296"/>
      <c r="R576" s="227"/>
      <c r="S576" s="228" t="e">
        <f>IF(C576="",NA(),MATCH($B576&amp;$C576,'Smelter Reference List'!$J:$J,0))</f>
        <v>#N/A</v>
      </c>
      <c r="T576" s="229"/>
      <c r="U576" s="229">
        <f t="shared" ca="1" si="18"/>
        <v>0</v>
      </c>
      <c r="V576" s="229"/>
      <c r="W576" s="229"/>
      <c r="Y576" s="223" t="str">
        <f t="shared" si="19"/>
        <v/>
      </c>
    </row>
    <row r="577" spans="1:25" s="223" customFormat="1" ht="20.25">
      <c r="A577" s="291"/>
      <c r="B577" s="292" t="str">
        <f>IF(LEN(A577)=0,"",INDEX('Smelter Reference List'!$A:$A,MATCH($A577,'Smelter Reference List'!$E:$E,0)))</f>
        <v/>
      </c>
      <c r="C577" s="298" t="str">
        <f>IF(LEN(A577)=0,"",INDEX('Smelter Reference List'!$C:$C,MATCH($A577,'Smelter Reference List'!$E:$E,0)))</f>
        <v/>
      </c>
      <c r="D577" s="292" t="str">
        <f ca="1">IF(ISERROR($S577),"",OFFSET('Smelter Reference List'!$C$4,$S577-4,0)&amp;"")</f>
        <v/>
      </c>
      <c r="E577" s="292" t="str">
        <f ca="1">IF(ISERROR($S577),"",OFFSET('Smelter Reference List'!$D$4,$S577-4,0)&amp;"")</f>
        <v/>
      </c>
      <c r="F577" s="292" t="str">
        <f ca="1">IF(ISERROR($S577),"",OFFSET('Smelter Reference List'!$E$4,$S577-4,0))</f>
        <v/>
      </c>
      <c r="G577" s="292" t="str">
        <f ca="1">IF(C577=$U$4,"Enter smelter details", IF(ISERROR($S577),"",OFFSET('Smelter Reference List'!$F$4,$S577-4,0)))</f>
        <v/>
      </c>
      <c r="H577" s="293" t="str">
        <f ca="1">IF(ISERROR($S577),"",OFFSET('Smelter Reference List'!$G$4,$S577-4,0))</f>
        <v/>
      </c>
      <c r="I577" s="294" t="str">
        <f ca="1">IF(ISERROR($S577),"",OFFSET('Smelter Reference List'!$H$4,$S577-4,0))</f>
        <v/>
      </c>
      <c r="J577" s="294" t="str">
        <f ca="1">IF(ISERROR($S577),"",OFFSET('Smelter Reference List'!$I$4,$S577-4,0))</f>
        <v/>
      </c>
      <c r="K577" s="295"/>
      <c r="L577" s="295"/>
      <c r="M577" s="295"/>
      <c r="N577" s="295"/>
      <c r="O577" s="295"/>
      <c r="P577" s="295"/>
      <c r="Q577" s="296"/>
      <c r="R577" s="227"/>
      <c r="S577" s="228" t="e">
        <f>IF(C577="",NA(),MATCH($B577&amp;$C577,'Smelter Reference List'!$J:$J,0))</f>
        <v>#N/A</v>
      </c>
      <c r="T577" s="229"/>
      <c r="U577" s="229">
        <f t="shared" ca="1" si="18"/>
        <v>0</v>
      </c>
      <c r="V577" s="229"/>
      <c r="W577" s="229"/>
      <c r="Y577" s="223" t="str">
        <f t="shared" si="19"/>
        <v/>
      </c>
    </row>
    <row r="578" spans="1:25" s="223" customFormat="1" ht="20.25">
      <c r="A578" s="291"/>
      <c r="B578" s="292" t="str">
        <f>IF(LEN(A578)=0,"",INDEX('Smelter Reference List'!$A:$A,MATCH($A578,'Smelter Reference List'!$E:$E,0)))</f>
        <v/>
      </c>
      <c r="C578" s="298" t="str">
        <f>IF(LEN(A578)=0,"",INDEX('Smelter Reference List'!$C:$C,MATCH($A578,'Smelter Reference List'!$E:$E,0)))</f>
        <v/>
      </c>
      <c r="D578" s="292" t="str">
        <f ca="1">IF(ISERROR($S578),"",OFFSET('Smelter Reference List'!$C$4,$S578-4,0)&amp;"")</f>
        <v/>
      </c>
      <c r="E578" s="292" t="str">
        <f ca="1">IF(ISERROR($S578),"",OFFSET('Smelter Reference List'!$D$4,$S578-4,0)&amp;"")</f>
        <v/>
      </c>
      <c r="F578" s="292" t="str">
        <f ca="1">IF(ISERROR($S578),"",OFFSET('Smelter Reference List'!$E$4,$S578-4,0))</f>
        <v/>
      </c>
      <c r="G578" s="292" t="str">
        <f ca="1">IF(C578=$U$4,"Enter smelter details", IF(ISERROR($S578),"",OFFSET('Smelter Reference List'!$F$4,$S578-4,0)))</f>
        <v/>
      </c>
      <c r="H578" s="293" t="str">
        <f ca="1">IF(ISERROR($S578),"",OFFSET('Smelter Reference List'!$G$4,$S578-4,0))</f>
        <v/>
      </c>
      <c r="I578" s="294" t="str">
        <f ca="1">IF(ISERROR($S578),"",OFFSET('Smelter Reference List'!$H$4,$S578-4,0))</f>
        <v/>
      </c>
      <c r="J578" s="294" t="str">
        <f ca="1">IF(ISERROR($S578),"",OFFSET('Smelter Reference List'!$I$4,$S578-4,0))</f>
        <v/>
      </c>
      <c r="K578" s="295"/>
      <c r="L578" s="295"/>
      <c r="M578" s="295"/>
      <c r="N578" s="295"/>
      <c r="O578" s="295"/>
      <c r="P578" s="295"/>
      <c r="Q578" s="296"/>
      <c r="R578" s="227"/>
      <c r="S578" s="228" t="e">
        <f>IF(C578="",NA(),MATCH($B578&amp;$C578,'Smelter Reference List'!$J:$J,0))</f>
        <v>#N/A</v>
      </c>
      <c r="T578" s="229"/>
      <c r="U578" s="229">
        <f t="shared" ca="1" si="18"/>
        <v>0</v>
      </c>
      <c r="V578" s="229"/>
      <c r="W578" s="229"/>
      <c r="Y578" s="223" t="str">
        <f t="shared" si="19"/>
        <v/>
      </c>
    </row>
    <row r="579" spans="1:25" s="223" customFormat="1" ht="20.25">
      <c r="A579" s="291"/>
      <c r="B579" s="292" t="str">
        <f>IF(LEN(A579)=0,"",INDEX('Smelter Reference List'!$A:$A,MATCH($A579,'Smelter Reference List'!$E:$E,0)))</f>
        <v/>
      </c>
      <c r="C579" s="298" t="str">
        <f>IF(LEN(A579)=0,"",INDEX('Smelter Reference List'!$C:$C,MATCH($A579,'Smelter Reference List'!$E:$E,0)))</f>
        <v/>
      </c>
      <c r="D579" s="292" t="str">
        <f ca="1">IF(ISERROR($S579),"",OFFSET('Smelter Reference List'!$C$4,$S579-4,0)&amp;"")</f>
        <v/>
      </c>
      <c r="E579" s="292" t="str">
        <f ca="1">IF(ISERROR($S579),"",OFFSET('Smelter Reference List'!$D$4,$S579-4,0)&amp;"")</f>
        <v/>
      </c>
      <c r="F579" s="292" t="str">
        <f ca="1">IF(ISERROR($S579),"",OFFSET('Smelter Reference List'!$E$4,$S579-4,0))</f>
        <v/>
      </c>
      <c r="G579" s="292" t="str">
        <f ca="1">IF(C579=$U$4,"Enter smelter details", IF(ISERROR($S579),"",OFFSET('Smelter Reference List'!$F$4,$S579-4,0)))</f>
        <v/>
      </c>
      <c r="H579" s="293" t="str">
        <f ca="1">IF(ISERROR($S579),"",OFFSET('Smelter Reference List'!$G$4,$S579-4,0))</f>
        <v/>
      </c>
      <c r="I579" s="294" t="str">
        <f ca="1">IF(ISERROR($S579),"",OFFSET('Smelter Reference List'!$H$4,$S579-4,0))</f>
        <v/>
      </c>
      <c r="J579" s="294" t="str">
        <f ca="1">IF(ISERROR($S579),"",OFFSET('Smelter Reference List'!$I$4,$S579-4,0))</f>
        <v/>
      </c>
      <c r="K579" s="295"/>
      <c r="L579" s="295"/>
      <c r="M579" s="295"/>
      <c r="N579" s="295"/>
      <c r="O579" s="295"/>
      <c r="P579" s="295"/>
      <c r="Q579" s="296"/>
      <c r="R579" s="227"/>
      <c r="S579" s="228" t="e">
        <f>IF(C579="",NA(),MATCH($B579&amp;$C579,'Smelter Reference List'!$J:$J,0))</f>
        <v>#N/A</v>
      </c>
      <c r="T579" s="229"/>
      <c r="U579" s="229">
        <f t="shared" ca="1" si="18"/>
        <v>0</v>
      </c>
      <c r="V579" s="229"/>
      <c r="W579" s="229"/>
      <c r="Y579" s="223" t="str">
        <f t="shared" si="19"/>
        <v/>
      </c>
    </row>
    <row r="580" spans="1:25" s="223" customFormat="1" ht="20.25">
      <c r="A580" s="291"/>
      <c r="B580" s="292" t="str">
        <f>IF(LEN(A580)=0,"",INDEX('Smelter Reference List'!$A:$A,MATCH($A580,'Smelter Reference List'!$E:$E,0)))</f>
        <v/>
      </c>
      <c r="C580" s="298" t="str">
        <f>IF(LEN(A580)=0,"",INDEX('Smelter Reference List'!$C:$C,MATCH($A580,'Smelter Reference List'!$E:$E,0)))</f>
        <v/>
      </c>
      <c r="D580" s="292" t="str">
        <f ca="1">IF(ISERROR($S580),"",OFFSET('Smelter Reference List'!$C$4,$S580-4,0)&amp;"")</f>
        <v/>
      </c>
      <c r="E580" s="292" t="str">
        <f ca="1">IF(ISERROR($S580),"",OFFSET('Smelter Reference List'!$D$4,$S580-4,0)&amp;"")</f>
        <v/>
      </c>
      <c r="F580" s="292" t="str">
        <f ca="1">IF(ISERROR($S580),"",OFFSET('Smelter Reference List'!$E$4,$S580-4,0))</f>
        <v/>
      </c>
      <c r="G580" s="292" t="str">
        <f ca="1">IF(C580=$U$4,"Enter smelter details", IF(ISERROR($S580),"",OFFSET('Smelter Reference List'!$F$4,$S580-4,0)))</f>
        <v/>
      </c>
      <c r="H580" s="293" t="str">
        <f ca="1">IF(ISERROR($S580),"",OFFSET('Smelter Reference List'!$G$4,$S580-4,0))</f>
        <v/>
      </c>
      <c r="I580" s="294" t="str">
        <f ca="1">IF(ISERROR($S580),"",OFFSET('Smelter Reference List'!$H$4,$S580-4,0))</f>
        <v/>
      </c>
      <c r="J580" s="294" t="str">
        <f ca="1">IF(ISERROR($S580),"",OFFSET('Smelter Reference List'!$I$4,$S580-4,0))</f>
        <v/>
      </c>
      <c r="K580" s="295"/>
      <c r="L580" s="295"/>
      <c r="M580" s="295"/>
      <c r="N580" s="295"/>
      <c r="O580" s="295"/>
      <c r="P580" s="295"/>
      <c r="Q580" s="296"/>
      <c r="R580" s="227"/>
      <c r="S580" s="228" t="e">
        <f>IF(C580="",NA(),MATCH($B580&amp;$C580,'Smelter Reference List'!$J:$J,0))</f>
        <v>#N/A</v>
      </c>
      <c r="T580" s="229"/>
      <c r="U580" s="229">
        <f t="shared" ca="1" si="18"/>
        <v>0</v>
      </c>
      <c r="V580" s="229"/>
      <c r="W580" s="229"/>
      <c r="Y580" s="223" t="str">
        <f t="shared" si="19"/>
        <v/>
      </c>
    </row>
    <row r="581" spans="1:25" s="223" customFormat="1" ht="20.25">
      <c r="A581" s="291"/>
      <c r="B581" s="292" t="str">
        <f>IF(LEN(A581)=0,"",INDEX('Smelter Reference List'!$A:$A,MATCH($A581,'Smelter Reference List'!$E:$E,0)))</f>
        <v/>
      </c>
      <c r="C581" s="298" t="str">
        <f>IF(LEN(A581)=0,"",INDEX('Smelter Reference List'!$C:$C,MATCH($A581,'Smelter Reference List'!$E:$E,0)))</f>
        <v/>
      </c>
      <c r="D581" s="292" t="str">
        <f ca="1">IF(ISERROR($S581),"",OFFSET('Smelter Reference List'!$C$4,$S581-4,0)&amp;"")</f>
        <v/>
      </c>
      <c r="E581" s="292" t="str">
        <f ca="1">IF(ISERROR($S581),"",OFFSET('Smelter Reference List'!$D$4,$S581-4,0)&amp;"")</f>
        <v/>
      </c>
      <c r="F581" s="292" t="str">
        <f ca="1">IF(ISERROR($S581),"",OFFSET('Smelter Reference List'!$E$4,$S581-4,0))</f>
        <v/>
      </c>
      <c r="G581" s="292" t="str">
        <f ca="1">IF(C581=$U$4,"Enter smelter details", IF(ISERROR($S581),"",OFFSET('Smelter Reference List'!$F$4,$S581-4,0)))</f>
        <v/>
      </c>
      <c r="H581" s="293" t="str">
        <f ca="1">IF(ISERROR($S581),"",OFFSET('Smelter Reference List'!$G$4,$S581-4,0))</f>
        <v/>
      </c>
      <c r="I581" s="294" t="str">
        <f ca="1">IF(ISERROR($S581),"",OFFSET('Smelter Reference List'!$H$4,$S581-4,0))</f>
        <v/>
      </c>
      <c r="J581" s="294" t="str">
        <f ca="1">IF(ISERROR($S581),"",OFFSET('Smelter Reference List'!$I$4,$S581-4,0))</f>
        <v/>
      </c>
      <c r="K581" s="295"/>
      <c r="L581" s="295"/>
      <c r="M581" s="295"/>
      <c r="N581" s="295"/>
      <c r="O581" s="295"/>
      <c r="P581" s="295"/>
      <c r="Q581" s="296"/>
      <c r="R581" s="227"/>
      <c r="S581" s="228" t="e">
        <f>IF(C581="",NA(),MATCH($B581&amp;$C581,'Smelter Reference List'!$J:$J,0))</f>
        <v>#N/A</v>
      </c>
      <c r="T581" s="229"/>
      <c r="U581" s="229">
        <f t="shared" ref="U581:U644" ca="1" si="20">IF(AND(C581="Smelter not listed",OR(LEN(D581)=0,LEN(E581)=0)),1,0)</f>
        <v>0</v>
      </c>
      <c r="V581" s="229"/>
      <c r="W581" s="229"/>
      <c r="Y581" s="223" t="str">
        <f t="shared" ref="Y581:Y644" si="21">B581&amp;C581</f>
        <v/>
      </c>
    </row>
    <row r="582" spans="1:25" s="223" customFormat="1" ht="20.25">
      <c r="A582" s="291"/>
      <c r="B582" s="292" t="str">
        <f>IF(LEN(A582)=0,"",INDEX('Smelter Reference List'!$A:$A,MATCH($A582,'Smelter Reference List'!$E:$E,0)))</f>
        <v/>
      </c>
      <c r="C582" s="298" t="str">
        <f>IF(LEN(A582)=0,"",INDEX('Smelter Reference List'!$C:$C,MATCH($A582,'Smelter Reference List'!$E:$E,0)))</f>
        <v/>
      </c>
      <c r="D582" s="292" t="str">
        <f ca="1">IF(ISERROR($S582),"",OFFSET('Smelter Reference List'!$C$4,$S582-4,0)&amp;"")</f>
        <v/>
      </c>
      <c r="E582" s="292" t="str">
        <f ca="1">IF(ISERROR($S582),"",OFFSET('Smelter Reference List'!$D$4,$S582-4,0)&amp;"")</f>
        <v/>
      </c>
      <c r="F582" s="292" t="str">
        <f ca="1">IF(ISERROR($S582),"",OFFSET('Smelter Reference List'!$E$4,$S582-4,0))</f>
        <v/>
      </c>
      <c r="G582" s="292" t="str">
        <f ca="1">IF(C582=$U$4,"Enter smelter details", IF(ISERROR($S582),"",OFFSET('Smelter Reference List'!$F$4,$S582-4,0)))</f>
        <v/>
      </c>
      <c r="H582" s="293" t="str">
        <f ca="1">IF(ISERROR($S582),"",OFFSET('Smelter Reference List'!$G$4,$S582-4,0))</f>
        <v/>
      </c>
      <c r="I582" s="294" t="str">
        <f ca="1">IF(ISERROR($S582),"",OFFSET('Smelter Reference List'!$H$4,$S582-4,0))</f>
        <v/>
      </c>
      <c r="J582" s="294" t="str">
        <f ca="1">IF(ISERROR($S582),"",OFFSET('Smelter Reference List'!$I$4,$S582-4,0))</f>
        <v/>
      </c>
      <c r="K582" s="295"/>
      <c r="L582" s="295"/>
      <c r="M582" s="295"/>
      <c r="N582" s="295"/>
      <c r="O582" s="295"/>
      <c r="P582" s="295"/>
      <c r="Q582" s="296"/>
      <c r="R582" s="227"/>
      <c r="S582" s="228" t="e">
        <f>IF(C582="",NA(),MATCH($B582&amp;$C582,'Smelter Reference List'!$J:$J,0))</f>
        <v>#N/A</v>
      </c>
      <c r="T582" s="229"/>
      <c r="U582" s="229">
        <f t="shared" ca="1" si="20"/>
        <v>0</v>
      </c>
      <c r="V582" s="229"/>
      <c r="W582" s="229"/>
      <c r="Y582" s="223" t="str">
        <f t="shared" si="21"/>
        <v/>
      </c>
    </row>
    <row r="583" spans="1:25" s="223" customFormat="1" ht="20.25">
      <c r="A583" s="291"/>
      <c r="B583" s="292" t="str">
        <f>IF(LEN(A583)=0,"",INDEX('Smelter Reference List'!$A:$A,MATCH($A583,'Smelter Reference List'!$E:$E,0)))</f>
        <v/>
      </c>
      <c r="C583" s="298" t="str">
        <f>IF(LEN(A583)=0,"",INDEX('Smelter Reference List'!$C:$C,MATCH($A583,'Smelter Reference List'!$E:$E,0)))</f>
        <v/>
      </c>
      <c r="D583" s="292" t="str">
        <f ca="1">IF(ISERROR($S583),"",OFFSET('Smelter Reference List'!$C$4,$S583-4,0)&amp;"")</f>
        <v/>
      </c>
      <c r="E583" s="292" t="str">
        <f ca="1">IF(ISERROR($S583),"",OFFSET('Smelter Reference List'!$D$4,$S583-4,0)&amp;"")</f>
        <v/>
      </c>
      <c r="F583" s="292" t="str">
        <f ca="1">IF(ISERROR($S583),"",OFFSET('Smelter Reference List'!$E$4,$S583-4,0))</f>
        <v/>
      </c>
      <c r="G583" s="292" t="str">
        <f ca="1">IF(C583=$U$4,"Enter smelter details", IF(ISERROR($S583),"",OFFSET('Smelter Reference List'!$F$4,$S583-4,0)))</f>
        <v/>
      </c>
      <c r="H583" s="293" t="str">
        <f ca="1">IF(ISERROR($S583),"",OFFSET('Smelter Reference List'!$G$4,$S583-4,0))</f>
        <v/>
      </c>
      <c r="I583" s="294" t="str">
        <f ca="1">IF(ISERROR($S583),"",OFFSET('Smelter Reference List'!$H$4,$S583-4,0))</f>
        <v/>
      </c>
      <c r="J583" s="294" t="str">
        <f ca="1">IF(ISERROR($S583),"",OFFSET('Smelter Reference List'!$I$4,$S583-4,0))</f>
        <v/>
      </c>
      <c r="K583" s="295"/>
      <c r="L583" s="295"/>
      <c r="M583" s="295"/>
      <c r="N583" s="295"/>
      <c r="O583" s="295"/>
      <c r="P583" s="295"/>
      <c r="Q583" s="296"/>
      <c r="R583" s="227"/>
      <c r="S583" s="228" t="e">
        <f>IF(C583="",NA(),MATCH($B583&amp;$C583,'Smelter Reference List'!$J:$J,0))</f>
        <v>#N/A</v>
      </c>
      <c r="T583" s="229"/>
      <c r="U583" s="229">
        <f t="shared" ca="1" si="20"/>
        <v>0</v>
      </c>
      <c r="V583" s="229"/>
      <c r="W583" s="229"/>
      <c r="Y583" s="223" t="str">
        <f t="shared" si="21"/>
        <v/>
      </c>
    </row>
    <row r="584" spans="1:25" s="223" customFormat="1" ht="20.25">
      <c r="A584" s="291"/>
      <c r="B584" s="292" t="str">
        <f>IF(LEN(A584)=0,"",INDEX('Smelter Reference List'!$A:$A,MATCH($A584,'Smelter Reference List'!$E:$E,0)))</f>
        <v/>
      </c>
      <c r="C584" s="298" t="str">
        <f>IF(LEN(A584)=0,"",INDEX('Smelter Reference List'!$C:$C,MATCH($A584,'Smelter Reference List'!$E:$E,0)))</f>
        <v/>
      </c>
      <c r="D584" s="292" t="str">
        <f ca="1">IF(ISERROR($S584),"",OFFSET('Smelter Reference List'!$C$4,$S584-4,0)&amp;"")</f>
        <v/>
      </c>
      <c r="E584" s="292" t="str">
        <f ca="1">IF(ISERROR($S584),"",OFFSET('Smelter Reference List'!$D$4,$S584-4,0)&amp;"")</f>
        <v/>
      </c>
      <c r="F584" s="292" t="str">
        <f ca="1">IF(ISERROR($S584),"",OFFSET('Smelter Reference List'!$E$4,$S584-4,0))</f>
        <v/>
      </c>
      <c r="G584" s="292" t="str">
        <f ca="1">IF(C584=$U$4,"Enter smelter details", IF(ISERROR($S584),"",OFFSET('Smelter Reference List'!$F$4,$S584-4,0)))</f>
        <v/>
      </c>
      <c r="H584" s="293" t="str">
        <f ca="1">IF(ISERROR($S584),"",OFFSET('Smelter Reference List'!$G$4,$S584-4,0))</f>
        <v/>
      </c>
      <c r="I584" s="294" t="str">
        <f ca="1">IF(ISERROR($S584),"",OFFSET('Smelter Reference List'!$H$4,$S584-4,0))</f>
        <v/>
      </c>
      <c r="J584" s="294" t="str">
        <f ca="1">IF(ISERROR($S584),"",OFFSET('Smelter Reference List'!$I$4,$S584-4,0))</f>
        <v/>
      </c>
      <c r="K584" s="295"/>
      <c r="L584" s="295"/>
      <c r="M584" s="295"/>
      <c r="N584" s="295"/>
      <c r="O584" s="295"/>
      <c r="P584" s="295"/>
      <c r="Q584" s="296"/>
      <c r="R584" s="227"/>
      <c r="S584" s="228" t="e">
        <f>IF(C584="",NA(),MATCH($B584&amp;$C584,'Smelter Reference List'!$J:$J,0))</f>
        <v>#N/A</v>
      </c>
      <c r="T584" s="229"/>
      <c r="U584" s="229">
        <f t="shared" ca="1" si="20"/>
        <v>0</v>
      </c>
      <c r="V584" s="229"/>
      <c r="W584" s="229"/>
      <c r="Y584" s="223" t="str">
        <f t="shared" si="21"/>
        <v/>
      </c>
    </row>
    <row r="585" spans="1:25" s="223" customFormat="1" ht="20.25">
      <c r="A585" s="291"/>
      <c r="B585" s="292" t="str">
        <f>IF(LEN(A585)=0,"",INDEX('Smelter Reference List'!$A:$A,MATCH($A585,'Smelter Reference List'!$E:$E,0)))</f>
        <v/>
      </c>
      <c r="C585" s="298" t="str">
        <f>IF(LEN(A585)=0,"",INDEX('Smelter Reference List'!$C:$C,MATCH($A585,'Smelter Reference List'!$E:$E,0)))</f>
        <v/>
      </c>
      <c r="D585" s="292" t="str">
        <f ca="1">IF(ISERROR($S585),"",OFFSET('Smelter Reference List'!$C$4,$S585-4,0)&amp;"")</f>
        <v/>
      </c>
      <c r="E585" s="292" t="str">
        <f ca="1">IF(ISERROR($S585),"",OFFSET('Smelter Reference List'!$D$4,$S585-4,0)&amp;"")</f>
        <v/>
      </c>
      <c r="F585" s="292" t="str">
        <f ca="1">IF(ISERROR($S585),"",OFFSET('Smelter Reference List'!$E$4,$S585-4,0))</f>
        <v/>
      </c>
      <c r="G585" s="292" t="str">
        <f ca="1">IF(C585=$U$4,"Enter smelter details", IF(ISERROR($S585),"",OFFSET('Smelter Reference List'!$F$4,$S585-4,0)))</f>
        <v/>
      </c>
      <c r="H585" s="293" t="str">
        <f ca="1">IF(ISERROR($S585),"",OFFSET('Smelter Reference List'!$G$4,$S585-4,0))</f>
        <v/>
      </c>
      <c r="I585" s="294" t="str">
        <f ca="1">IF(ISERROR($S585),"",OFFSET('Smelter Reference List'!$H$4,$S585-4,0))</f>
        <v/>
      </c>
      <c r="J585" s="294" t="str">
        <f ca="1">IF(ISERROR($S585),"",OFFSET('Smelter Reference List'!$I$4,$S585-4,0))</f>
        <v/>
      </c>
      <c r="K585" s="295"/>
      <c r="L585" s="295"/>
      <c r="M585" s="295"/>
      <c r="N585" s="295"/>
      <c r="O585" s="295"/>
      <c r="P585" s="295"/>
      <c r="Q585" s="296"/>
      <c r="R585" s="227"/>
      <c r="S585" s="228" t="e">
        <f>IF(C585="",NA(),MATCH($B585&amp;$C585,'Smelter Reference List'!$J:$J,0))</f>
        <v>#N/A</v>
      </c>
      <c r="T585" s="229"/>
      <c r="U585" s="229">
        <f t="shared" ca="1" si="20"/>
        <v>0</v>
      </c>
      <c r="V585" s="229"/>
      <c r="W585" s="229"/>
      <c r="Y585" s="223" t="str">
        <f t="shared" si="21"/>
        <v/>
      </c>
    </row>
    <row r="586" spans="1:25" s="223" customFormat="1" ht="20.25">
      <c r="A586" s="291"/>
      <c r="B586" s="292" t="str">
        <f>IF(LEN(A586)=0,"",INDEX('Smelter Reference List'!$A:$A,MATCH($A586,'Smelter Reference List'!$E:$E,0)))</f>
        <v/>
      </c>
      <c r="C586" s="298" t="str">
        <f>IF(LEN(A586)=0,"",INDEX('Smelter Reference List'!$C:$C,MATCH($A586,'Smelter Reference List'!$E:$E,0)))</f>
        <v/>
      </c>
      <c r="D586" s="292" t="str">
        <f ca="1">IF(ISERROR($S586),"",OFFSET('Smelter Reference List'!$C$4,$S586-4,0)&amp;"")</f>
        <v/>
      </c>
      <c r="E586" s="292" t="str">
        <f ca="1">IF(ISERROR($S586),"",OFFSET('Smelter Reference List'!$D$4,$S586-4,0)&amp;"")</f>
        <v/>
      </c>
      <c r="F586" s="292" t="str">
        <f ca="1">IF(ISERROR($S586),"",OFFSET('Smelter Reference List'!$E$4,$S586-4,0))</f>
        <v/>
      </c>
      <c r="G586" s="292" t="str">
        <f ca="1">IF(C586=$U$4,"Enter smelter details", IF(ISERROR($S586),"",OFFSET('Smelter Reference List'!$F$4,$S586-4,0)))</f>
        <v/>
      </c>
      <c r="H586" s="293" t="str">
        <f ca="1">IF(ISERROR($S586),"",OFFSET('Smelter Reference List'!$G$4,$S586-4,0))</f>
        <v/>
      </c>
      <c r="I586" s="294" t="str">
        <f ca="1">IF(ISERROR($S586),"",OFFSET('Smelter Reference List'!$H$4,$S586-4,0))</f>
        <v/>
      </c>
      <c r="J586" s="294" t="str">
        <f ca="1">IF(ISERROR($S586),"",OFFSET('Smelter Reference List'!$I$4,$S586-4,0))</f>
        <v/>
      </c>
      <c r="K586" s="295"/>
      <c r="L586" s="295"/>
      <c r="M586" s="295"/>
      <c r="N586" s="295"/>
      <c r="O586" s="295"/>
      <c r="P586" s="295"/>
      <c r="Q586" s="296"/>
      <c r="R586" s="227"/>
      <c r="S586" s="228" t="e">
        <f>IF(C586="",NA(),MATCH($B586&amp;$C586,'Smelter Reference List'!$J:$J,0))</f>
        <v>#N/A</v>
      </c>
      <c r="T586" s="229"/>
      <c r="U586" s="229">
        <f t="shared" ca="1" si="20"/>
        <v>0</v>
      </c>
      <c r="V586" s="229"/>
      <c r="W586" s="229"/>
      <c r="Y586" s="223" t="str">
        <f t="shared" si="21"/>
        <v/>
      </c>
    </row>
    <row r="587" spans="1:25" s="223" customFormat="1" ht="20.25">
      <c r="A587" s="291"/>
      <c r="B587" s="292" t="str">
        <f>IF(LEN(A587)=0,"",INDEX('Smelter Reference List'!$A:$A,MATCH($A587,'Smelter Reference List'!$E:$E,0)))</f>
        <v/>
      </c>
      <c r="C587" s="298" t="str">
        <f>IF(LEN(A587)=0,"",INDEX('Smelter Reference List'!$C:$C,MATCH($A587,'Smelter Reference List'!$E:$E,0)))</f>
        <v/>
      </c>
      <c r="D587" s="292" t="str">
        <f ca="1">IF(ISERROR($S587),"",OFFSET('Smelter Reference List'!$C$4,$S587-4,0)&amp;"")</f>
        <v/>
      </c>
      <c r="E587" s="292" t="str">
        <f ca="1">IF(ISERROR($S587),"",OFFSET('Smelter Reference List'!$D$4,$S587-4,0)&amp;"")</f>
        <v/>
      </c>
      <c r="F587" s="292" t="str">
        <f ca="1">IF(ISERROR($S587),"",OFFSET('Smelter Reference List'!$E$4,$S587-4,0))</f>
        <v/>
      </c>
      <c r="G587" s="292" t="str">
        <f ca="1">IF(C587=$U$4,"Enter smelter details", IF(ISERROR($S587),"",OFFSET('Smelter Reference List'!$F$4,$S587-4,0)))</f>
        <v/>
      </c>
      <c r="H587" s="293" t="str">
        <f ca="1">IF(ISERROR($S587),"",OFFSET('Smelter Reference List'!$G$4,$S587-4,0))</f>
        <v/>
      </c>
      <c r="I587" s="294" t="str">
        <f ca="1">IF(ISERROR($S587),"",OFFSET('Smelter Reference List'!$H$4,$S587-4,0))</f>
        <v/>
      </c>
      <c r="J587" s="294" t="str">
        <f ca="1">IF(ISERROR($S587),"",OFFSET('Smelter Reference List'!$I$4,$S587-4,0))</f>
        <v/>
      </c>
      <c r="K587" s="295"/>
      <c r="L587" s="295"/>
      <c r="M587" s="295"/>
      <c r="N587" s="295"/>
      <c r="O587" s="295"/>
      <c r="P587" s="295"/>
      <c r="Q587" s="296"/>
      <c r="R587" s="227"/>
      <c r="S587" s="228" t="e">
        <f>IF(C587="",NA(),MATCH($B587&amp;$C587,'Smelter Reference List'!$J:$J,0))</f>
        <v>#N/A</v>
      </c>
      <c r="T587" s="229"/>
      <c r="U587" s="229">
        <f t="shared" ca="1" si="20"/>
        <v>0</v>
      </c>
      <c r="V587" s="229"/>
      <c r="W587" s="229"/>
      <c r="Y587" s="223" t="str">
        <f t="shared" si="21"/>
        <v/>
      </c>
    </row>
    <row r="588" spans="1:25" s="223" customFormat="1" ht="20.25">
      <c r="A588" s="291"/>
      <c r="B588" s="292" t="str">
        <f>IF(LEN(A588)=0,"",INDEX('Smelter Reference List'!$A:$A,MATCH($A588,'Smelter Reference List'!$E:$E,0)))</f>
        <v/>
      </c>
      <c r="C588" s="298" t="str">
        <f>IF(LEN(A588)=0,"",INDEX('Smelter Reference List'!$C:$C,MATCH($A588,'Smelter Reference List'!$E:$E,0)))</f>
        <v/>
      </c>
      <c r="D588" s="292" t="str">
        <f ca="1">IF(ISERROR($S588),"",OFFSET('Smelter Reference List'!$C$4,$S588-4,0)&amp;"")</f>
        <v/>
      </c>
      <c r="E588" s="292" t="str">
        <f ca="1">IF(ISERROR($S588),"",OFFSET('Smelter Reference List'!$D$4,$S588-4,0)&amp;"")</f>
        <v/>
      </c>
      <c r="F588" s="292" t="str">
        <f ca="1">IF(ISERROR($S588),"",OFFSET('Smelter Reference List'!$E$4,$S588-4,0))</f>
        <v/>
      </c>
      <c r="G588" s="292" t="str">
        <f ca="1">IF(C588=$U$4,"Enter smelter details", IF(ISERROR($S588),"",OFFSET('Smelter Reference List'!$F$4,$S588-4,0)))</f>
        <v/>
      </c>
      <c r="H588" s="293" t="str">
        <f ca="1">IF(ISERROR($S588),"",OFFSET('Smelter Reference List'!$G$4,$S588-4,0))</f>
        <v/>
      </c>
      <c r="I588" s="294" t="str">
        <f ca="1">IF(ISERROR($S588),"",OFFSET('Smelter Reference List'!$H$4,$S588-4,0))</f>
        <v/>
      </c>
      <c r="J588" s="294" t="str">
        <f ca="1">IF(ISERROR($S588),"",OFFSET('Smelter Reference List'!$I$4,$S588-4,0))</f>
        <v/>
      </c>
      <c r="K588" s="295"/>
      <c r="L588" s="295"/>
      <c r="M588" s="295"/>
      <c r="N588" s="295"/>
      <c r="O588" s="295"/>
      <c r="P588" s="295"/>
      <c r="Q588" s="296"/>
      <c r="R588" s="227"/>
      <c r="S588" s="228" t="e">
        <f>IF(C588="",NA(),MATCH($B588&amp;$C588,'Smelter Reference List'!$J:$J,0))</f>
        <v>#N/A</v>
      </c>
      <c r="T588" s="229"/>
      <c r="U588" s="229">
        <f t="shared" ca="1" si="20"/>
        <v>0</v>
      </c>
      <c r="V588" s="229"/>
      <c r="W588" s="229"/>
      <c r="Y588" s="223" t="str">
        <f t="shared" si="21"/>
        <v/>
      </c>
    </row>
    <row r="589" spans="1:25" s="223" customFormat="1" ht="20.25">
      <c r="A589" s="291"/>
      <c r="B589" s="292" t="str">
        <f>IF(LEN(A589)=0,"",INDEX('Smelter Reference List'!$A:$A,MATCH($A589,'Smelter Reference List'!$E:$E,0)))</f>
        <v/>
      </c>
      <c r="C589" s="298" t="str">
        <f>IF(LEN(A589)=0,"",INDEX('Smelter Reference List'!$C:$C,MATCH($A589,'Smelter Reference List'!$E:$E,0)))</f>
        <v/>
      </c>
      <c r="D589" s="292" t="str">
        <f ca="1">IF(ISERROR($S589),"",OFFSET('Smelter Reference List'!$C$4,$S589-4,0)&amp;"")</f>
        <v/>
      </c>
      <c r="E589" s="292" t="str">
        <f ca="1">IF(ISERROR($S589),"",OFFSET('Smelter Reference List'!$D$4,$S589-4,0)&amp;"")</f>
        <v/>
      </c>
      <c r="F589" s="292" t="str">
        <f ca="1">IF(ISERROR($S589),"",OFFSET('Smelter Reference List'!$E$4,$S589-4,0))</f>
        <v/>
      </c>
      <c r="G589" s="292" t="str">
        <f ca="1">IF(C589=$U$4,"Enter smelter details", IF(ISERROR($S589),"",OFFSET('Smelter Reference List'!$F$4,$S589-4,0)))</f>
        <v/>
      </c>
      <c r="H589" s="293" t="str">
        <f ca="1">IF(ISERROR($S589),"",OFFSET('Smelter Reference List'!$G$4,$S589-4,0))</f>
        <v/>
      </c>
      <c r="I589" s="294" t="str">
        <f ca="1">IF(ISERROR($S589),"",OFFSET('Smelter Reference List'!$H$4,$S589-4,0))</f>
        <v/>
      </c>
      <c r="J589" s="294" t="str">
        <f ca="1">IF(ISERROR($S589),"",OFFSET('Smelter Reference List'!$I$4,$S589-4,0))</f>
        <v/>
      </c>
      <c r="K589" s="295"/>
      <c r="L589" s="295"/>
      <c r="M589" s="295"/>
      <c r="N589" s="295"/>
      <c r="O589" s="295"/>
      <c r="P589" s="295"/>
      <c r="Q589" s="296"/>
      <c r="R589" s="227"/>
      <c r="S589" s="228" t="e">
        <f>IF(C589="",NA(),MATCH($B589&amp;$C589,'Smelter Reference List'!$J:$J,0))</f>
        <v>#N/A</v>
      </c>
      <c r="T589" s="229"/>
      <c r="U589" s="229">
        <f t="shared" ca="1" si="20"/>
        <v>0</v>
      </c>
      <c r="V589" s="229"/>
      <c r="W589" s="229"/>
      <c r="Y589" s="223" t="str">
        <f t="shared" si="21"/>
        <v/>
      </c>
    </row>
    <row r="590" spans="1:25" s="223" customFormat="1" ht="20.25">
      <c r="A590" s="291"/>
      <c r="B590" s="292" t="str">
        <f>IF(LEN(A590)=0,"",INDEX('Smelter Reference List'!$A:$A,MATCH($A590,'Smelter Reference List'!$E:$E,0)))</f>
        <v/>
      </c>
      <c r="C590" s="298" t="str">
        <f>IF(LEN(A590)=0,"",INDEX('Smelter Reference List'!$C:$C,MATCH($A590,'Smelter Reference List'!$E:$E,0)))</f>
        <v/>
      </c>
      <c r="D590" s="292" t="str">
        <f ca="1">IF(ISERROR($S590),"",OFFSET('Smelter Reference List'!$C$4,$S590-4,0)&amp;"")</f>
        <v/>
      </c>
      <c r="E590" s="292" t="str">
        <f ca="1">IF(ISERROR($S590),"",OFFSET('Smelter Reference List'!$D$4,$S590-4,0)&amp;"")</f>
        <v/>
      </c>
      <c r="F590" s="292" t="str">
        <f ca="1">IF(ISERROR($S590),"",OFFSET('Smelter Reference List'!$E$4,$S590-4,0))</f>
        <v/>
      </c>
      <c r="G590" s="292" t="str">
        <f ca="1">IF(C590=$U$4,"Enter smelter details", IF(ISERROR($S590),"",OFFSET('Smelter Reference List'!$F$4,$S590-4,0)))</f>
        <v/>
      </c>
      <c r="H590" s="293" t="str">
        <f ca="1">IF(ISERROR($S590),"",OFFSET('Smelter Reference List'!$G$4,$S590-4,0))</f>
        <v/>
      </c>
      <c r="I590" s="294" t="str">
        <f ca="1">IF(ISERROR($S590),"",OFFSET('Smelter Reference List'!$H$4,$S590-4,0))</f>
        <v/>
      </c>
      <c r="J590" s="294" t="str">
        <f ca="1">IF(ISERROR($S590),"",OFFSET('Smelter Reference List'!$I$4,$S590-4,0))</f>
        <v/>
      </c>
      <c r="K590" s="295"/>
      <c r="L590" s="295"/>
      <c r="M590" s="295"/>
      <c r="N590" s="295"/>
      <c r="O590" s="295"/>
      <c r="P590" s="295"/>
      <c r="Q590" s="296"/>
      <c r="R590" s="227"/>
      <c r="S590" s="228" t="e">
        <f>IF(C590="",NA(),MATCH($B590&amp;$C590,'Smelter Reference List'!$J:$J,0))</f>
        <v>#N/A</v>
      </c>
      <c r="T590" s="229"/>
      <c r="U590" s="229">
        <f t="shared" ca="1" si="20"/>
        <v>0</v>
      </c>
      <c r="V590" s="229"/>
      <c r="W590" s="229"/>
      <c r="Y590" s="223" t="str">
        <f t="shared" si="21"/>
        <v/>
      </c>
    </row>
    <row r="591" spans="1:25" s="223" customFormat="1" ht="20.25">
      <c r="A591" s="291"/>
      <c r="B591" s="292" t="str">
        <f>IF(LEN(A591)=0,"",INDEX('Smelter Reference List'!$A:$A,MATCH($A591,'Smelter Reference List'!$E:$E,0)))</f>
        <v/>
      </c>
      <c r="C591" s="298" t="str">
        <f>IF(LEN(A591)=0,"",INDEX('Smelter Reference List'!$C:$C,MATCH($A591,'Smelter Reference List'!$E:$E,0)))</f>
        <v/>
      </c>
      <c r="D591" s="292" t="str">
        <f ca="1">IF(ISERROR($S591),"",OFFSET('Smelter Reference List'!$C$4,$S591-4,0)&amp;"")</f>
        <v/>
      </c>
      <c r="E591" s="292" t="str">
        <f ca="1">IF(ISERROR($S591),"",OFFSET('Smelter Reference List'!$D$4,$S591-4,0)&amp;"")</f>
        <v/>
      </c>
      <c r="F591" s="292" t="str">
        <f ca="1">IF(ISERROR($S591),"",OFFSET('Smelter Reference List'!$E$4,$S591-4,0))</f>
        <v/>
      </c>
      <c r="G591" s="292" t="str">
        <f ca="1">IF(C591=$U$4,"Enter smelter details", IF(ISERROR($S591),"",OFFSET('Smelter Reference List'!$F$4,$S591-4,0)))</f>
        <v/>
      </c>
      <c r="H591" s="293" t="str">
        <f ca="1">IF(ISERROR($S591),"",OFFSET('Smelter Reference List'!$G$4,$S591-4,0))</f>
        <v/>
      </c>
      <c r="I591" s="294" t="str">
        <f ca="1">IF(ISERROR($S591),"",OFFSET('Smelter Reference List'!$H$4,$S591-4,0))</f>
        <v/>
      </c>
      <c r="J591" s="294" t="str">
        <f ca="1">IF(ISERROR($S591),"",OFFSET('Smelter Reference List'!$I$4,$S591-4,0))</f>
        <v/>
      </c>
      <c r="K591" s="295"/>
      <c r="L591" s="295"/>
      <c r="M591" s="295"/>
      <c r="N591" s="295"/>
      <c r="O591" s="295"/>
      <c r="P591" s="295"/>
      <c r="Q591" s="296"/>
      <c r="R591" s="227"/>
      <c r="S591" s="228" t="e">
        <f>IF(C591="",NA(),MATCH($B591&amp;$C591,'Smelter Reference List'!$J:$J,0))</f>
        <v>#N/A</v>
      </c>
      <c r="T591" s="229"/>
      <c r="U591" s="229">
        <f t="shared" ca="1" si="20"/>
        <v>0</v>
      </c>
      <c r="V591" s="229"/>
      <c r="W591" s="229"/>
      <c r="Y591" s="223" t="str">
        <f t="shared" si="21"/>
        <v/>
      </c>
    </row>
    <row r="592" spans="1:25" s="223" customFormat="1" ht="20.25">
      <c r="A592" s="291"/>
      <c r="B592" s="292" t="str">
        <f>IF(LEN(A592)=0,"",INDEX('Smelter Reference List'!$A:$A,MATCH($A592,'Smelter Reference List'!$E:$E,0)))</f>
        <v/>
      </c>
      <c r="C592" s="298" t="str">
        <f>IF(LEN(A592)=0,"",INDEX('Smelter Reference List'!$C:$C,MATCH($A592,'Smelter Reference List'!$E:$E,0)))</f>
        <v/>
      </c>
      <c r="D592" s="292" t="str">
        <f ca="1">IF(ISERROR($S592),"",OFFSET('Smelter Reference List'!$C$4,$S592-4,0)&amp;"")</f>
        <v/>
      </c>
      <c r="E592" s="292" t="str">
        <f ca="1">IF(ISERROR($S592),"",OFFSET('Smelter Reference List'!$D$4,$S592-4,0)&amp;"")</f>
        <v/>
      </c>
      <c r="F592" s="292" t="str">
        <f ca="1">IF(ISERROR($S592),"",OFFSET('Smelter Reference List'!$E$4,$S592-4,0))</f>
        <v/>
      </c>
      <c r="G592" s="292" t="str">
        <f ca="1">IF(C592=$U$4,"Enter smelter details", IF(ISERROR($S592),"",OFFSET('Smelter Reference List'!$F$4,$S592-4,0)))</f>
        <v/>
      </c>
      <c r="H592" s="293" t="str">
        <f ca="1">IF(ISERROR($S592),"",OFFSET('Smelter Reference List'!$G$4,$S592-4,0))</f>
        <v/>
      </c>
      <c r="I592" s="294" t="str">
        <f ca="1">IF(ISERROR($S592),"",OFFSET('Smelter Reference List'!$H$4,$S592-4,0))</f>
        <v/>
      </c>
      <c r="J592" s="294" t="str">
        <f ca="1">IF(ISERROR($S592),"",OFFSET('Smelter Reference List'!$I$4,$S592-4,0))</f>
        <v/>
      </c>
      <c r="K592" s="295"/>
      <c r="L592" s="295"/>
      <c r="M592" s="295"/>
      <c r="N592" s="295"/>
      <c r="O592" s="295"/>
      <c r="P592" s="295"/>
      <c r="Q592" s="296"/>
      <c r="R592" s="227"/>
      <c r="S592" s="228" t="e">
        <f>IF(C592="",NA(),MATCH($B592&amp;$C592,'Smelter Reference List'!$J:$J,0))</f>
        <v>#N/A</v>
      </c>
      <c r="T592" s="229"/>
      <c r="U592" s="229">
        <f t="shared" ca="1" si="20"/>
        <v>0</v>
      </c>
      <c r="V592" s="229"/>
      <c r="W592" s="229"/>
      <c r="Y592" s="223" t="str">
        <f t="shared" si="21"/>
        <v/>
      </c>
    </row>
    <row r="593" spans="1:25" s="223" customFormat="1" ht="20.25">
      <c r="A593" s="291"/>
      <c r="B593" s="292" t="str">
        <f>IF(LEN(A593)=0,"",INDEX('Smelter Reference List'!$A:$A,MATCH($A593,'Smelter Reference List'!$E:$E,0)))</f>
        <v/>
      </c>
      <c r="C593" s="298" t="str">
        <f>IF(LEN(A593)=0,"",INDEX('Smelter Reference List'!$C:$C,MATCH($A593,'Smelter Reference List'!$E:$E,0)))</f>
        <v/>
      </c>
      <c r="D593" s="292" t="str">
        <f ca="1">IF(ISERROR($S593),"",OFFSET('Smelter Reference List'!$C$4,$S593-4,0)&amp;"")</f>
        <v/>
      </c>
      <c r="E593" s="292" t="str">
        <f ca="1">IF(ISERROR($S593),"",OFFSET('Smelter Reference List'!$D$4,$S593-4,0)&amp;"")</f>
        <v/>
      </c>
      <c r="F593" s="292" t="str">
        <f ca="1">IF(ISERROR($S593),"",OFFSET('Smelter Reference List'!$E$4,$S593-4,0))</f>
        <v/>
      </c>
      <c r="G593" s="292" t="str">
        <f ca="1">IF(C593=$U$4,"Enter smelter details", IF(ISERROR($S593),"",OFFSET('Smelter Reference List'!$F$4,$S593-4,0)))</f>
        <v/>
      </c>
      <c r="H593" s="293" t="str">
        <f ca="1">IF(ISERROR($S593),"",OFFSET('Smelter Reference List'!$G$4,$S593-4,0))</f>
        <v/>
      </c>
      <c r="I593" s="294" t="str">
        <f ca="1">IF(ISERROR($S593),"",OFFSET('Smelter Reference List'!$H$4,$S593-4,0))</f>
        <v/>
      </c>
      <c r="J593" s="294" t="str">
        <f ca="1">IF(ISERROR($S593),"",OFFSET('Smelter Reference List'!$I$4,$S593-4,0))</f>
        <v/>
      </c>
      <c r="K593" s="295"/>
      <c r="L593" s="295"/>
      <c r="M593" s="295"/>
      <c r="N593" s="295"/>
      <c r="O593" s="295"/>
      <c r="P593" s="295"/>
      <c r="Q593" s="296"/>
      <c r="R593" s="227"/>
      <c r="S593" s="228" t="e">
        <f>IF(C593="",NA(),MATCH($B593&amp;$C593,'Smelter Reference List'!$J:$J,0))</f>
        <v>#N/A</v>
      </c>
      <c r="T593" s="229"/>
      <c r="U593" s="229">
        <f t="shared" ca="1" si="20"/>
        <v>0</v>
      </c>
      <c r="V593" s="229"/>
      <c r="W593" s="229"/>
      <c r="Y593" s="223" t="str">
        <f t="shared" si="21"/>
        <v/>
      </c>
    </row>
    <row r="594" spans="1:25" s="223" customFormat="1" ht="20.25">
      <c r="A594" s="291"/>
      <c r="B594" s="292" t="str">
        <f>IF(LEN(A594)=0,"",INDEX('Smelter Reference List'!$A:$A,MATCH($A594,'Smelter Reference List'!$E:$E,0)))</f>
        <v/>
      </c>
      <c r="C594" s="298" t="str">
        <f>IF(LEN(A594)=0,"",INDEX('Smelter Reference List'!$C:$C,MATCH($A594,'Smelter Reference List'!$E:$E,0)))</f>
        <v/>
      </c>
      <c r="D594" s="292" t="str">
        <f ca="1">IF(ISERROR($S594),"",OFFSET('Smelter Reference List'!$C$4,$S594-4,0)&amp;"")</f>
        <v/>
      </c>
      <c r="E594" s="292" t="str">
        <f ca="1">IF(ISERROR($S594),"",OFFSET('Smelter Reference List'!$D$4,$S594-4,0)&amp;"")</f>
        <v/>
      </c>
      <c r="F594" s="292" t="str">
        <f ca="1">IF(ISERROR($S594),"",OFFSET('Smelter Reference List'!$E$4,$S594-4,0))</f>
        <v/>
      </c>
      <c r="G594" s="292" t="str">
        <f ca="1">IF(C594=$U$4,"Enter smelter details", IF(ISERROR($S594),"",OFFSET('Smelter Reference List'!$F$4,$S594-4,0)))</f>
        <v/>
      </c>
      <c r="H594" s="293" t="str">
        <f ca="1">IF(ISERROR($S594),"",OFFSET('Smelter Reference List'!$G$4,$S594-4,0))</f>
        <v/>
      </c>
      <c r="I594" s="294" t="str">
        <f ca="1">IF(ISERROR($S594),"",OFFSET('Smelter Reference List'!$H$4,$S594-4,0))</f>
        <v/>
      </c>
      <c r="J594" s="294" t="str">
        <f ca="1">IF(ISERROR($S594),"",OFFSET('Smelter Reference List'!$I$4,$S594-4,0))</f>
        <v/>
      </c>
      <c r="K594" s="295"/>
      <c r="L594" s="295"/>
      <c r="M594" s="295"/>
      <c r="N594" s="295"/>
      <c r="O594" s="295"/>
      <c r="P594" s="295"/>
      <c r="Q594" s="296"/>
      <c r="R594" s="227"/>
      <c r="S594" s="228" t="e">
        <f>IF(C594="",NA(),MATCH($B594&amp;$C594,'Smelter Reference List'!$J:$J,0))</f>
        <v>#N/A</v>
      </c>
      <c r="T594" s="229"/>
      <c r="U594" s="229">
        <f t="shared" ca="1" si="20"/>
        <v>0</v>
      </c>
      <c r="V594" s="229"/>
      <c r="W594" s="229"/>
      <c r="Y594" s="223" t="str">
        <f t="shared" si="21"/>
        <v/>
      </c>
    </row>
    <row r="595" spans="1:25" s="223" customFormat="1" ht="20.25">
      <c r="A595" s="291"/>
      <c r="B595" s="292" t="str">
        <f>IF(LEN(A595)=0,"",INDEX('Smelter Reference List'!$A:$A,MATCH($A595,'Smelter Reference List'!$E:$E,0)))</f>
        <v/>
      </c>
      <c r="C595" s="298" t="str">
        <f>IF(LEN(A595)=0,"",INDEX('Smelter Reference List'!$C:$C,MATCH($A595,'Smelter Reference List'!$E:$E,0)))</f>
        <v/>
      </c>
      <c r="D595" s="292" t="str">
        <f ca="1">IF(ISERROR($S595),"",OFFSET('Smelter Reference List'!$C$4,$S595-4,0)&amp;"")</f>
        <v/>
      </c>
      <c r="E595" s="292" t="str">
        <f ca="1">IF(ISERROR($S595),"",OFFSET('Smelter Reference List'!$D$4,$S595-4,0)&amp;"")</f>
        <v/>
      </c>
      <c r="F595" s="292" t="str">
        <f ca="1">IF(ISERROR($S595),"",OFFSET('Smelter Reference List'!$E$4,$S595-4,0))</f>
        <v/>
      </c>
      <c r="G595" s="292" t="str">
        <f ca="1">IF(C595=$U$4,"Enter smelter details", IF(ISERROR($S595),"",OFFSET('Smelter Reference List'!$F$4,$S595-4,0)))</f>
        <v/>
      </c>
      <c r="H595" s="293" t="str">
        <f ca="1">IF(ISERROR($S595),"",OFFSET('Smelter Reference List'!$G$4,$S595-4,0))</f>
        <v/>
      </c>
      <c r="I595" s="294" t="str">
        <f ca="1">IF(ISERROR($S595),"",OFFSET('Smelter Reference List'!$H$4,$S595-4,0))</f>
        <v/>
      </c>
      <c r="J595" s="294" t="str">
        <f ca="1">IF(ISERROR($S595),"",OFFSET('Smelter Reference List'!$I$4,$S595-4,0))</f>
        <v/>
      </c>
      <c r="K595" s="295"/>
      <c r="L595" s="295"/>
      <c r="M595" s="295"/>
      <c r="N595" s="295"/>
      <c r="O595" s="295"/>
      <c r="P595" s="295"/>
      <c r="Q595" s="296"/>
      <c r="R595" s="227"/>
      <c r="S595" s="228" t="e">
        <f>IF(C595="",NA(),MATCH($B595&amp;$C595,'Smelter Reference List'!$J:$J,0))</f>
        <v>#N/A</v>
      </c>
      <c r="T595" s="229"/>
      <c r="U595" s="229">
        <f t="shared" ca="1" si="20"/>
        <v>0</v>
      </c>
      <c r="V595" s="229"/>
      <c r="W595" s="229"/>
      <c r="Y595" s="223" t="str">
        <f t="shared" si="21"/>
        <v/>
      </c>
    </row>
    <row r="596" spans="1:25" s="223" customFormat="1" ht="20.25">
      <c r="A596" s="291"/>
      <c r="B596" s="292" t="str">
        <f>IF(LEN(A596)=0,"",INDEX('Smelter Reference List'!$A:$A,MATCH($A596,'Smelter Reference List'!$E:$E,0)))</f>
        <v/>
      </c>
      <c r="C596" s="298" t="str">
        <f>IF(LEN(A596)=0,"",INDEX('Smelter Reference List'!$C:$C,MATCH($A596,'Smelter Reference List'!$E:$E,0)))</f>
        <v/>
      </c>
      <c r="D596" s="292" t="str">
        <f ca="1">IF(ISERROR($S596),"",OFFSET('Smelter Reference List'!$C$4,$S596-4,0)&amp;"")</f>
        <v/>
      </c>
      <c r="E596" s="292" t="str">
        <f ca="1">IF(ISERROR($S596),"",OFFSET('Smelter Reference List'!$D$4,$S596-4,0)&amp;"")</f>
        <v/>
      </c>
      <c r="F596" s="292" t="str">
        <f ca="1">IF(ISERROR($S596),"",OFFSET('Smelter Reference List'!$E$4,$S596-4,0))</f>
        <v/>
      </c>
      <c r="G596" s="292" t="str">
        <f ca="1">IF(C596=$U$4,"Enter smelter details", IF(ISERROR($S596),"",OFFSET('Smelter Reference List'!$F$4,$S596-4,0)))</f>
        <v/>
      </c>
      <c r="H596" s="293" t="str">
        <f ca="1">IF(ISERROR($S596),"",OFFSET('Smelter Reference List'!$G$4,$S596-4,0))</f>
        <v/>
      </c>
      <c r="I596" s="294" t="str">
        <f ca="1">IF(ISERROR($S596),"",OFFSET('Smelter Reference List'!$H$4,$S596-4,0))</f>
        <v/>
      </c>
      <c r="J596" s="294" t="str">
        <f ca="1">IF(ISERROR($S596),"",OFFSET('Smelter Reference List'!$I$4,$S596-4,0))</f>
        <v/>
      </c>
      <c r="K596" s="295"/>
      <c r="L596" s="295"/>
      <c r="M596" s="295"/>
      <c r="N596" s="295"/>
      <c r="O596" s="295"/>
      <c r="P596" s="295"/>
      <c r="Q596" s="296"/>
      <c r="R596" s="227"/>
      <c r="S596" s="228" t="e">
        <f>IF(C596="",NA(),MATCH($B596&amp;$C596,'Smelter Reference List'!$J:$J,0))</f>
        <v>#N/A</v>
      </c>
      <c r="T596" s="229"/>
      <c r="U596" s="229">
        <f t="shared" ca="1" si="20"/>
        <v>0</v>
      </c>
      <c r="V596" s="229"/>
      <c r="W596" s="229"/>
      <c r="Y596" s="223" t="str">
        <f t="shared" si="21"/>
        <v/>
      </c>
    </row>
    <row r="597" spans="1:25" s="223" customFormat="1" ht="20.25">
      <c r="A597" s="291"/>
      <c r="B597" s="292" t="str">
        <f>IF(LEN(A597)=0,"",INDEX('Smelter Reference List'!$A:$A,MATCH($A597,'Smelter Reference List'!$E:$E,0)))</f>
        <v/>
      </c>
      <c r="C597" s="298" t="str">
        <f>IF(LEN(A597)=0,"",INDEX('Smelter Reference List'!$C:$C,MATCH($A597,'Smelter Reference List'!$E:$E,0)))</f>
        <v/>
      </c>
      <c r="D597" s="292" t="str">
        <f ca="1">IF(ISERROR($S597),"",OFFSET('Smelter Reference List'!$C$4,$S597-4,0)&amp;"")</f>
        <v/>
      </c>
      <c r="E597" s="292" t="str">
        <f ca="1">IF(ISERROR($S597),"",OFFSET('Smelter Reference List'!$D$4,$S597-4,0)&amp;"")</f>
        <v/>
      </c>
      <c r="F597" s="292" t="str">
        <f ca="1">IF(ISERROR($S597),"",OFFSET('Smelter Reference List'!$E$4,$S597-4,0))</f>
        <v/>
      </c>
      <c r="G597" s="292" t="str">
        <f ca="1">IF(C597=$U$4,"Enter smelter details", IF(ISERROR($S597),"",OFFSET('Smelter Reference List'!$F$4,$S597-4,0)))</f>
        <v/>
      </c>
      <c r="H597" s="293" t="str">
        <f ca="1">IF(ISERROR($S597),"",OFFSET('Smelter Reference List'!$G$4,$S597-4,0))</f>
        <v/>
      </c>
      <c r="I597" s="294" t="str">
        <f ca="1">IF(ISERROR($S597),"",OFFSET('Smelter Reference List'!$H$4,$S597-4,0))</f>
        <v/>
      </c>
      <c r="J597" s="294" t="str">
        <f ca="1">IF(ISERROR($S597),"",OFFSET('Smelter Reference List'!$I$4,$S597-4,0))</f>
        <v/>
      </c>
      <c r="K597" s="295"/>
      <c r="L597" s="295"/>
      <c r="M597" s="295"/>
      <c r="N597" s="295"/>
      <c r="O597" s="295"/>
      <c r="P597" s="295"/>
      <c r="Q597" s="296"/>
      <c r="R597" s="227"/>
      <c r="S597" s="228" t="e">
        <f>IF(C597="",NA(),MATCH($B597&amp;$C597,'Smelter Reference List'!$J:$J,0))</f>
        <v>#N/A</v>
      </c>
      <c r="T597" s="229"/>
      <c r="U597" s="229">
        <f t="shared" ca="1" si="20"/>
        <v>0</v>
      </c>
      <c r="V597" s="229"/>
      <c r="W597" s="229"/>
      <c r="Y597" s="223" t="str">
        <f t="shared" si="21"/>
        <v/>
      </c>
    </row>
    <row r="598" spans="1:25" s="223" customFormat="1" ht="20.25">
      <c r="A598" s="291"/>
      <c r="B598" s="292" t="str">
        <f>IF(LEN(A598)=0,"",INDEX('Smelter Reference List'!$A:$A,MATCH($A598,'Smelter Reference List'!$E:$E,0)))</f>
        <v/>
      </c>
      <c r="C598" s="298" t="str">
        <f>IF(LEN(A598)=0,"",INDEX('Smelter Reference List'!$C:$C,MATCH($A598,'Smelter Reference List'!$E:$E,0)))</f>
        <v/>
      </c>
      <c r="D598" s="292" t="str">
        <f ca="1">IF(ISERROR($S598),"",OFFSET('Smelter Reference List'!$C$4,$S598-4,0)&amp;"")</f>
        <v/>
      </c>
      <c r="E598" s="292" t="str">
        <f ca="1">IF(ISERROR($S598),"",OFFSET('Smelter Reference List'!$D$4,$S598-4,0)&amp;"")</f>
        <v/>
      </c>
      <c r="F598" s="292" t="str">
        <f ca="1">IF(ISERROR($S598),"",OFFSET('Smelter Reference List'!$E$4,$S598-4,0))</f>
        <v/>
      </c>
      <c r="G598" s="292" t="str">
        <f ca="1">IF(C598=$U$4,"Enter smelter details", IF(ISERROR($S598),"",OFFSET('Smelter Reference List'!$F$4,$S598-4,0)))</f>
        <v/>
      </c>
      <c r="H598" s="293" t="str">
        <f ca="1">IF(ISERROR($S598),"",OFFSET('Smelter Reference List'!$G$4,$S598-4,0))</f>
        <v/>
      </c>
      <c r="I598" s="294" t="str">
        <f ca="1">IF(ISERROR($S598),"",OFFSET('Smelter Reference List'!$H$4,$S598-4,0))</f>
        <v/>
      </c>
      <c r="J598" s="294" t="str">
        <f ca="1">IF(ISERROR($S598),"",OFFSET('Smelter Reference List'!$I$4,$S598-4,0))</f>
        <v/>
      </c>
      <c r="K598" s="295"/>
      <c r="L598" s="295"/>
      <c r="M598" s="295"/>
      <c r="N598" s="295"/>
      <c r="O598" s="295"/>
      <c r="P598" s="295"/>
      <c r="Q598" s="296"/>
      <c r="R598" s="227"/>
      <c r="S598" s="228" t="e">
        <f>IF(C598="",NA(),MATCH($B598&amp;$C598,'Smelter Reference List'!$J:$J,0))</f>
        <v>#N/A</v>
      </c>
      <c r="T598" s="229"/>
      <c r="U598" s="229">
        <f t="shared" ca="1" si="20"/>
        <v>0</v>
      </c>
      <c r="V598" s="229"/>
      <c r="W598" s="229"/>
      <c r="Y598" s="223" t="str">
        <f t="shared" si="21"/>
        <v/>
      </c>
    </row>
    <row r="599" spans="1:25" s="223" customFormat="1" ht="20.25">
      <c r="A599" s="291"/>
      <c r="B599" s="292" t="str">
        <f>IF(LEN(A599)=0,"",INDEX('Smelter Reference List'!$A:$A,MATCH($A599,'Smelter Reference List'!$E:$E,0)))</f>
        <v/>
      </c>
      <c r="C599" s="298" t="str">
        <f>IF(LEN(A599)=0,"",INDEX('Smelter Reference List'!$C:$C,MATCH($A599,'Smelter Reference List'!$E:$E,0)))</f>
        <v/>
      </c>
      <c r="D599" s="292" t="str">
        <f ca="1">IF(ISERROR($S599),"",OFFSET('Smelter Reference List'!$C$4,$S599-4,0)&amp;"")</f>
        <v/>
      </c>
      <c r="E599" s="292" t="str">
        <f ca="1">IF(ISERROR($S599),"",OFFSET('Smelter Reference List'!$D$4,$S599-4,0)&amp;"")</f>
        <v/>
      </c>
      <c r="F599" s="292" t="str">
        <f ca="1">IF(ISERROR($S599),"",OFFSET('Smelter Reference List'!$E$4,$S599-4,0))</f>
        <v/>
      </c>
      <c r="G599" s="292" t="str">
        <f ca="1">IF(C599=$U$4,"Enter smelter details", IF(ISERROR($S599),"",OFFSET('Smelter Reference List'!$F$4,$S599-4,0)))</f>
        <v/>
      </c>
      <c r="H599" s="293" t="str">
        <f ca="1">IF(ISERROR($S599),"",OFFSET('Smelter Reference List'!$G$4,$S599-4,0))</f>
        <v/>
      </c>
      <c r="I599" s="294" t="str">
        <f ca="1">IF(ISERROR($S599),"",OFFSET('Smelter Reference List'!$H$4,$S599-4,0))</f>
        <v/>
      </c>
      <c r="J599" s="294" t="str">
        <f ca="1">IF(ISERROR($S599),"",OFFSET('Smelter Reference List'!$I$4,$S599-4,0))</f>
        <v/>
      </c>
      <c r="K599" s="295"/>
      <c r="L599" s="295"/>
      <c r="M599" s="295"/>
      <c r="N599" s="295"/>
      <c r="O599" s="295"/>
      <c r="P599" s="295"/>
      <c r="Q599" s="296"/>
      <c r="R599" s="227"/>
      <c r="S599" s="228" t="e">
        <f>IF(C599="",NA(),MATCH($B599&amp;$C599,'Smelter Reference List'!$J:$J,0))</f>
        <v>#N/A</v>
      </c>
      <c r="T599" s="229"/>
      <c r="U599" s="229">
        <f t="shared" ca="1" si="20"/>
        <v>0</v>
      </c>
      <c r="V599" s="229"/>
      <c r="W599" s="229"/>
      <c r="Y599" s="223" t="str">
        <f t="shared" si="21"/>
        <v/>
      </c>
    </row>
    <row r="600" spans="1:25" s="223" customFormat="1" ht="20.25">
      <c r="A600" s="291"/>
      <c r="B600" s="292" t="str">
        <f>IF(LEN(A600)=0,"",INDEX('Smelter Reference List'!$A:$A,MATCH($A600,'Smelter Reference List'!$E:$E,0)))</f>
        <v/>
      </c>
      <c r="C600" s="298" t="str">
        <f>IF(LEN(A600)=0,"",INDEX('Smelter Reference List'!$C:$C,MATCH($A600,'Smelter Reference List'!$E:$E,0)))</f>
        <v/>
      </c>
      <c r="D600" s="292" t="str">
        <f ca="1">IF(ISERROR($S600),"",OFFSET('Smelter Reference List'!$C$4,$S600-4,0)&amp;"")</f>
        <v/>
      </c>
      <c r="E600" s="292" t="str">
        <f ca="1">IF(ISERROR($S600),"",OFFSET('Smelter Reference List'!$D$4,$S600-4,0)&amp;"")</f>
        <v/>
      </c>
      <c r="F600" s="292" t="str">
        <f ca="1">IF(ISERROR($S600),"",OFFSET('Smelter Reference List'!$E$4,$S600-4,0))</f>
        <v/>
      </c>
      <c r="G600" s="292" t="str">
        <f ca="1">IF(C600=$U$4,"Enter smelter details", IF(ISERROR($S600),"",OFFSET('Smelter Reference List'!$F$4,$S600-4,0)))</f>
        <v/>
      </c>
      <c r="H600" s="293" t="str">
        <f ca="1">IF(ISERROR($S600),"",OFFSET('Smelter Reference List'!$G$4,$S600-4,0))</f>
        <v/>
      </c>
      <c r="I600" s="294" t="str">
        <f ca="1">IF(ISERROR($S600),"",OFFSET('Smelter Reference List'!$H$4,$S600-4,0))</f>
        <v/>
      </c>
      <c r="J600" s="294" t="str">
        <f ca="1">IF(ISERROR($S600),"",OFFSET('Smelter Reference List'!$I$4,$S600-4,0))</f>
        <v/>
      </c>
      <c r="K600" s="295"/>
      <c r="L600" s="295"/>
      <c r="M600" s="295"/>
      <c r="N600" s="295"/>
      <c r="O600" s="295"/>
      <c r="P600" s="295"/>
      <c r="Q600" s="296"/>
      <c r="R600" s="227"/>
      <c r="S600" s="228" t="e">
        <f>IF(C600="",NA(),MATCH($B600&amp;$C600,'Smelter Reference List'!$J:$J,0))</f>
        <v>#N/A</v>
      </c>
      <c r="T600" s="229"/>
      <c r="U600" s="229">
        <f t="shared" ca="1" si="20"/>
        <v>0</v>
      </c>
      <c r="V600" s="229"/>
      <c r="W600" s="229"/>
      <c r="Y600" s="223" t="str">
        <f t="shared" si="21"/>
        <v/>
      </c>
    </row>
    <row r="601" spans="1:25" s="223" customFormat="1" ht="20.25">
      <c r="A601" s="291"/>
      <c r="B601" s="292" t="str">
        <f>IF(LEN(A601)=0,"",INDEX('Smelter Reference List'!$A:$A,MATCH($A601,'Smelter Reference List'!$E:$E,0)))</f>
        <v/>
      </c>
      <c r="C601" s="298" t="str">
        <f>IF(LEN(A601)=0,"",INDEX('Smelter Reference List'!$C:$C,MATCH($A601,'Smelter Reference List'!$E:$E,0)))</f>
        <v/>
      </c>
      <c r="D601" s="292" t="str">
        <f ca="1">IF(ISERROR($S601),"",OFFSET('Smelter Reference List'!$C$4,$S601-4,0)&amp;"")</f>
        <v/>
      </c>
      <c r="E601" s="292" t="str">
        <f ca="1">IF(ISERROR($S601),"",OFFSET('Smelter Reference List'!$D$4,$S601-4,0)&amp;"")</f>
        <v/>
      </c>
      <c r="F601" s="292" t="str">
        <f ca="1">IF(ISERROR($S601),"",OFFSET('Smelter Reference List'!$E$4,$S601-4,0))</f>
        <v/>
      </c>
      <c r="G601" s="292" t="str">
        <f ca="1">IF(C601=$U$4,"Enter smelter details", IF(ISERROR($S601),"",OFFSET('Smelter Reference List'!$F$4,$S601-4,0)))</f>
        <v/>
      </c>
      <c r="H601" s="293" t="str">
        <f ca="1">IF(ISERROR($S601),"",OFFSET('Smelter Reference List'!$G$4,$S601-4,0))</f>
        <v/>
      </c>
      <c r="I601" s="294" t="str">
        <f ca="1">IF(ISERROR($S601),"",OFFSET('Smelter Reference List'!$H$4,$S601-4,0))</f>
        <v/>
      </c>
      <c r="J601" s="294" t="str">
        <f ca="1">IF(ISERROR($S601),"",OFFSET('Smelter Reference List'!$I$4,$S601-4,0))</f>
        <v/>
      </c>
      <c r="K601" s="295"/>
      <c r="L601" s="295"/>
      <c r="M601" s="295"/>
      <c r="N601" s="295"/>
      <c r="O601" s="295"/>
      <c r="P601" s="295"/>
      <c r="Q601" s="296"/>
      <c r="R601" s="227"/>
      <c r="S601" s="228" t="e">
        <f>IF(C601="",NA(),MATCH($B601&amp;$C601,'Smelter Reference List'!$J:$J,0))</f>
        <v>#N/A</v>
      </c>
      <c r="T601" s="229"/>
      <c r="U601" s="229">
        <f t="shared" ca="1" si="20"/>
        <v>0</v>
      </c>
      <c r="V601" s="229"/>
      <c r="W601" s="229"/>
      <c r="Y601" s="223" t="str">
        <f t="shared" si="21"/>
        <v/>
      </c>
    </row>
    <row r="602" spans="1:25" s="223" customFormat="1" ht="20.25">
      <c r="A602" s="291"/>
      <c r="B602" s="292" t="str">
        <f>IF(LEN(A602)=0,"",INDEX('Smelter Reference List'!$A:$A,MATCH($A602,'Smelter Reference List'!$E:$E,0)))</f>
        <v/>
      </c>
      <c r="C602" s="298" t="str">
        <f>IF(LEN(A602)=0,"",INDEX('Smelter Reference List'!$C:$C,MATCH($A602,'Smelter Reference List'!$E:$E,0)))</f>
        <v/>
      </c>
      <c r="D602" s="292" t="str">
        <f ca="1">IF(ISERROR($S602),"",OFFSET('Smelter Reference List'!$C$4,$S602-4,0)&amp;"")</f>
        <v/>
      </c>
      <c r="E602" s="292" t="str">
        <f ca="1">IF(ISERROR($S602),"",OFFSET('Smelter Reference List'!$D$4,$S602-4,0)&amp;"")</f>
        <v/>
      </c>
      <c r="F602" s="292" t="str">
        <f ca="1">IF(ISERROR($S602),"",OFFSET('Smelter Reference List'!$E$4,$S602-4,0))</f>
        <v/>
      </c>
      <c r="G602" s="292" t="str">
        <f ca="1">IF(C602=$U$4,"Enter smelter details", IF(ISERROR($S602),"",OFFSET('Smelter Reference List'!$F$4,$S602-4,0)))</f>
        <v/>
      </c>
      <c r="H602" s="293" t="str">
        <f ca="1">IF(ISERROR($S602),"",OFFSET('Smelter Reference List'!$G$4,$S602-4,0))</f>
        <v/>
      </c>
      <c r="I602" s="294" t="str">
        <f ca="1">IF(ISERROR($S602),"",OFFSET('Smelter Reference List'!$H$4,$S602-4,0))</f>
        <v/>
      </c>
      <c r="J602" s="294" t="str">
        <f ca="1">IF(ISERROR($S602),"",OFFSET('Smelter Reference List'!$I$4,$S602-4,0))</f>
        <v/>
      </c>
      <c r="K602" s="295"/>
      <c r="L602" s="295"/>
      <c r="M602" s="295"/>
      <c r="N602" s="295"/>
      <c r="O602" s="295"/>
      <c r="P602" s="295"/>
      <c r="Q602" s="296"/>
      <c r="R602" s="227"/>
      <c r="S602" s="228" t="e">
        <f>IF(C602="",NA(),MATCH($B602&amp;$C602,'Smelter Reference List'!$J:$J,0))</f>
        <v>#N/A</v>
      </c>
      <c r="T602" s="229"/>
      <c r="U602" s="229">
        <f t="shared" ca="1" si="20"/>
        <v>0</v>
      </c>
      <c r="V602" s="229"/>
      <c r="W602" s="229"/>
      <c r="Y602" s="223" t="str">
        <f t="shared" si="21"/>
        <v/>
      </c>
    </row>
    <row r="603" spans="1:25" s="223" customFormat="1" ht="20.25">
      <c r="A603" s="291"/>
      <c r="B603" s="292" t="str">
        <f>IF(LEN(A603)=0,"",INDEX('Smelter Reference List'!$A:$A,MATCH($A603,'Smelter Reference List'!$E:$E,0)))</f>
        <v/>
      </c>
      <c r="C603" s="298" t="str">
        <f>IF(LEN(A603)=0,"",INDEX('Smelter Reference List'!$C:$C,MATCH($A603,'Smelter Reference List'!$E:$E,0)))</f>
        <v/>
      </c>
      <c r="D603" s="292" t="str">
        <f ca="1">IF(ISERROR($S603),"",OFFSET('Smelter Reference List'!$C$4,$S603-4,0)&amp;"")</f>
        <v/>
      </c>
      <c r="E603" s="292" t="str">
        <f ca="1">IF(ISERROR($S603),"",OFFSET('Smelter Reference List'!$D$4,$S603-4,0)&amp;"")</f>
        <v/>
      </c>
      <c r="F603" s="292" t="str">
        <f ca="1">IF(ISERROR($S603),"",OFFSET('Smelter Reference List'!$E$4,$S603-4,0))</f>
        <v/>
      </c>
      <c r="G603" s="292" t="str">
        <f ca="1">IF(C603=$U$4,"Enter smelter details", IF(ISERROR($S603),"",OFFSET('Smelter Reference List'!$F$4,$S603-4,0)))</f>
        <v/>
      </c>
      <c r="H603" s="293" t="str">
        <f ca="1">IF(ISERROR($S603),"",OFFSET('Smelter Reference List'!$G$4,$S603-4,0))</f>
        <v/>
      </c>
      <c r="I603" s="294" t="str">
        <f ca="1">IF(ISERROR($S603),"",OFFSET('Smelter Reference List'!$H$4,$S603-4,0))</f>
        <v/>
      </c>
      <c r="J603" s="294" t="str">
        <f ca="1">IF(ISERROR($S603),"",OFFSET('Smelter Reference List'!$I$4,$S603-4,0))</f>
        <v/>
      </c>
      <c r="K603" s="295"/>
      <c r="L603" s="295"/>
      <c r="M603" s="295"/>
      <c r="N603" s="295"/>
      <c r="O603" s="295"/>
      <c r="P603" s="295"/>
      <c r="Q603" s="296"/>
      <c r="R603" s="227"/>
      <c r="S603" s="228" t="e">
        <f>IF(C603="",NA(),MATCH($B603&amp;$C603,'Smelter Reference List'!$J:$J,0))</f>
        <v>#N/A</v>
      </c>
      <c r="T603" s="229"/>
      <c r="U603" s="229">
        <f t="shared" ca="1" si="20"/>
        <v>0</v>
      </c>
      <c r="V603" s="229"/>
      <c r="W603" s="229"/>
      <c r="Y603" s="223" t="str">
        <f t="shared" si="21"/>
        <v/>
      </c>
    </row>
    <row r="604" spans="1:25" s="223" customFormat="1" ht="20.25">
      <c r="A604" s="291"/>
      <c r="B604" s="292" t="str">
        <f>IF(LEN(A604)=0,"",INDEX('Smelter Reference List'!$A:$A,MATCH($A604,'Smelter Reference List'!$E:$E,0)))</f>
        <v/>
      </c>
      <c r="C604" s="298" t="str">
        <f>IF(LEN(A604)=0,"",INDEX('Smelter Reference List'!$C:$C,MATCH($A604,'Smelter Reference List'!$E:$E,0)))</f>
        <v/>
      </c>
      <c r="D604" s="292" t="str">
        <f ca="1">IF(ISERROR($S604),"",OFFSET('Smelter Reference List'!$C$4,$S604-4,0)&amp;"")</f>
        <v/>
      </c>
      <c r="E604" s="292" t="str">
        <f ca="1">IF(ISERROR($S604),"",OFFSET('Smelter Reference List'!$D$4,$S604-4,0)&amp;"")</f>
        <v/>
      </c>
      <c r="F604" s="292" t="str">
        <f ca="1">IF(ISERROR($S604),"",OFFSET('Smelter Reference List'!$E$4,$S604-4,0))</f>
        <v/>
      </c>
      <c r="G604" s="292" t="str">
        <f ca="1">IF(C604=$U$4,"Enter smelter details", IF(ISERROR($S604),"",OFFSET('Smelter Reference List'!$F$4,$S604-4,0)))</f>
        <v/>
      </c>
      <c r="H604" s="293" t="str">
        <f ca="1">IF(ISERROR($S604),"",OFFSET('Smelter Reference List'!$G$4,$S604-4,0))</f>
        <v/>
      </c>
      <c r="I604" s="294" t="str">
        <f ca="1">IF(ISERROR($S604),"",OFFSET('Smelter Reference List'!$H$4,$S604-4,0))</f>
        <v/>
      </c>
      <c r="J604" s="294" t="str">
        <f ca="1">IF(ISERROR($S604),"",OFFSET('Smelter Reference List'!$I$4,$S604-4,0))</f>
        <v/>
      </c>
      <c r="K604" s="295"/>
      <c r="L604" s="295"/>
      <c r="M604" s="295"/>
      <c r="N604" s="295"/>
      <c r="O604" s="295"/>
      <c r="P604" s="295"/>
      <c r="Q604" s="296"/>
      <c r="R604" s="227"/>
      <c r="S604" s="228" t="e">
        <f>IF(C604="",NA(),MATCH($B604&amp;$C604,'Smelter Reference List'!$J:$J,0))</f>
        <v>#N/A</v>
      </c>
      <c r="T604" s="229"/>
      <c r="U604" s="229">
        <f t="shared" ca="1" si="20"/>
        <v>0</v>
      </c>
      <c r="V604" s="229"/>
      <c r="W604" s="229"/>
      <c r="Y604" s="223" t="str">
        <f t="shared" si="21"/>
        <v/>
      </c>
    </row>
    <row r="605" spans="1:25" s="223" customFormat="1" ht="20.25">
      <c r="A605" s="291"/>
      <c r="B605" s="292" t="str">
        <f>IF(LEN(A605)=0,"",INDEX('Smelter Reference List'!$A:$A,MATCH($A605,'Smelter Reference List'!$E:$E,0)))</f>
        <v/>
      </c>
      <c r="C605" s="298" t="str">
        <f>IF(LEN(A605)=0,"",INDEX('Smelter Reference List'!$C:$C,MATCH($A605,'Smelter Reference List'!$E:$E,0)))</f>
        <v/>
      </c>
      <c r="D605" s="292" t="str">
        <f ca="1">IF(ISERROR($S605),"",OFFSET('Smelter Reference List'!$C$4,$S605-4,0)&amp;"")</f>
        <v/>
      </c>
      <c r="E605" s="292" t="str">
        <f ca="1">IF(ISERROR($S605),"",OFFSET('Smelter Reference List'!$D$4,$S605-4,0)&amp;"")</f>
        <v/>
      </c>
      <c r="F605" s="292" t="str">
        <f ca="1">IF(ISERROR($S605),"",OFFSET('Smelter Reference List'!$E$4,$S605-4,0))</f>
        <v/>
      </c>
      <c r="G605" s="292" t="str">
        <f ca="1">IF(C605=$U$4,"Enter smelter details", IF(ISERROR($S605),"",OFFSET('Smelter Reference List'!$F$4,$S605-4,0)))</f>
        <v/>
      </c>
      <c r="H605" s="293" t="str">
        <f ca="1">IF(ISERROR($S605),"",OFFSET('Smelter Reference List'!$G$4,$S605-4,0))</f>
        <v/>
      </c>
      <c r="I605" s="294" t="str">
        <f ca="1">IF(ISERROR($S605),"",OFFSET('Smelter Reference List'!$H$4,$S605-4,0))</f>
        <v/>
      </c>
      <c r="J605" s="294" t="str">
        <f ca="1">IF(ISERROR($S605),"",OFFSET('Smelter Reference List'!$I$4,$S605-4,0))</f>
        <v/>
      </c>
      <c r="K605" s="295"/>
      <c r="L605" s="295"/>
      <c r="M605" s="295"/>
      <c r="N605" s="295"/>
      <c r="O605" s="295"/>
      <c r="P605" s="295"/>
      <c r="Q605" s="296"/>
      <c r="R605" s="227"/>
      <c r="S605" s="228" t="e">
        <f>IF(C605="",NA(),MATCH($B605&amp;$C605,'Smelter Reference List'!$J:$J,0))</f>
        <v>#N/A</v>
      </c>
      <c r="T605" s="229"/>
      <c r="U605" s="229">
        <f t="shared" ca="1" si="20"/>
        <v>0</v>
      </c>
      <c r="V605" s="229"/>
      <c r="W605" s="229"/>
      <c r="Y605" s="223" t="str">
        <f t="shared" si="21"/>
        <v/>
      </c>
    </row>
    <row r="606" spans="1:25" s="223" customFormat="1" ht="20.25">
      <c r="A606" s="291"/>
      <c r="B606" s="292" t="str">
        <f>IF(LEN(A606)=0,"",INDEX('Smelter Reference List'!$A:$A,MATCH($A606,'Smelter Reference List'!$E:$E,0)))</f>
        <v/>
      </c>
      <c r="C606" s="298" t="str">
        <f>IF(LEN(A606)=0,"",INDEX('Smelter Reference List'!$C:$C,MATCH($A606,'Smelter Reference List'!$E:$E,0)))</f>
        <v/>
      </c>
      <c r="D606" s="292" t="str">
        <f ca="1">IF(ISERROR($S606),"",OFFSET('Smelter Reference List'!$C$4,$S606-4,0)&amp;"")</f>
        <v/>
      </c>
      <c r="E606" s="292" t="str">
        <f ca="1">IF(ISERROR($S606),"",OFFSET('Smelter Reference List'!$D$4,$S606-4,0)&amp;"")</f>
        <v/>
      </c>
      <c r="F606" s="292" t="str">
        <f ca="1">IF(ISERROR($S606),"",OFFSET('Smelter Reference List'!$E$4,$S606-4,0))</f>
        <v/>
      </c>
      <c r="G606" s="292" t="str">
        <f ca="1">IF(C606=$U$4,"Enter smelter details", IF(ISERROR($S606),"",OFFSET('Smelter Reference List'!$F$4,$S606-4,0)))</f>
        <v/>
      </c>
      <c r="H606" s="293" t="str">
        <f ca="1">IF(ISERROR($S606),"",OFFSET('Smelter Reference List'!$G$4,$S606-4,0))</f>
        <v/>
      </c>
      <c r="I606" s="294" t="str">
        <f ca="1">IF(ISERROR($S606),"",OFFSET('Smelter Reference List'!$H$4,$S606-4,0))</f>
        <v/>
      </c>
      <c r="J606" s="294" t="str">
        <f ca="1">IF(ISERROR($S606),"",OFFSET('Smelter Reference List'!$I$4,$S606-4,0))</f>
        <v/>
      </c>
      <c r="K606" s="295"/>
      <c r="L606" s="295"/>
      <c r="M606" s="295"/>
      <c r="N606" s="295"/>
      <c r="O606" s="295"/>
      <c r="P606" s="295"/>
      <c r="Q606" s="296"/>
      <c r="R606" s="227"/>
      <c r="S606" s="228" t="e">
        <f>IF(C606="",NA(),MATCH($B606&amp;$C606,'Smelter Reference List'!$J:$J,0))</f>
        <v>#N/A</v>
      </c>
      <c r="T606" s="229"/>
      <c r="U606" s="229">
        <f t="shared" ca="1" si="20"/>
        <v>0</v>
      </c>
      <c r="V606" s="229"/>
      <c r="W606" s="229"/>
      <c r="Y606" s="223" t="str">
        <f t="shared" si="21"/>
        <v/>
      </c>
    </row>
    <row r="607" spans="1:25" s="223" customFormat="1" ht="20.25">
      <c r="A607" s="291"/>
      <c r="B607" s="292" t="str">
        <f>IF(LEN(A607)=0,"",INDEX('Smelter Reference List'!$A:$A,MATCH($A607,'Smelter Reference List'!$E:$E,0)))</f>
        <v/>
      </c>
      <c r="C607" s="298" t="str">
        <f>IF(LEN(A607)=0,"",INDEX('Smelter Reference List'!$C:$C,MATCH($A607,'Smelter Reference List'!$E:$E,0)))</f>
        <v/>
      </c>
      <c r="D607" s="292" t="str">
        <f ca="1">IF(ISERROR($S607),"",OFFSET('Smelter Reference List'!$C$4,$S607-4,0)&amp;"")</f>
        <v/>
      </c>
      <c r="E607" s="292" t="str">
        <f ca="1">IF(ISERROR($S607),"",OFFSET('Smelter Reference List'!$D$4,$S607-4,0)&amp;"")</f>
        <v/>
      </c>
      <c r="F607" s="292" t="str">
        <f ca="1">IF(ISERROR($S607),"",OFFSET('Smelter Reference List'!$E$4,$S607-4,0))</f>
        <v/>
      </c>
      <c r="G607" s="292" t="str">
        <f ca="1">IF(C607=$U$4,"Enter smelter details", IF(ISERROR($S607),"",OFFSET('Smelter Reference List'!$F$4,$S607-4,0)))</f>
        <v/>
      </c>
      <c r="H607" s="293" t="str">
        <f ca="1">IF(ISERROR($S607),"",OFFSET('Smelter Reference List'!$G$4,$S607-4,0))</f>
        <v/>
      </c>
      <c r="I607" s="294" t="str">
        <f ca="1">IF(ISERROR($S607),"",OFFSET('Smelter Reference List'!$H$4,$S607-4,0))</f>
        <v/>
      </c>
      <c r="J607" s="294" t="str">
        <f ca="1">IF(ISERROR($S607),"",OFFSET('Smelter Reference List'!$I$4,$S607-4,0))</f>
        <v/>
      </c>
      <c r="K607" s="295"/>
      <c r="L607" s="295"/>
      <c r="M607" s="295"/>
      <c r="N607" s="295"/>
      <c r="O607" s="295"/>
      <c r="P607" s="295"/>
      <c r="Q607" s="296"/>
      <c r="R607" s="227"/>
      <c r="S607" s="228" t="e">
        <f>IF(C607="",NA(),MATCH($B607&amp;$C607,'Smelter Reference List'!$J:$J,0))</f>
        <v>#N/A</v>
      </c>
      <c r="T607" s="229"/>
      <c r="U607" s="229">
        <f t="shared" ca="1" si="20"/>
        <v>0</v>
      </c>
      <c r="V607" s="229"/>
      <c r="W607" s="229"/>
      <c r="Y607" s="223" t="str">
        <f t="shared" si="21"/>
        <v/>
      </c>
    </row>
    <row r="608" spans="1:25" s="223" customFormat="1" ht="20.25">
      <c r="A608" s="291"/>
      <c r="B608" s="292" t="str">
        <f>IF(LEN(A608)=0,"",INDEX('Smelter Reference List'!$A:$A,MATCH($A608,'Smelter Reference List'!$E:$E,0)))</f>
        <v/>
      </c>
      <c r="C608" s="298" t="str">
        <f>IF(LEN(A608)=0,"",INDEX('Smelter Reference List'!$C:$C,MATCH($A608,'Smelter Reference List'!$E:$E,0)))</f>
        <v/>
      </c>
      <c r="D608" s="292" t="str">
        <f ca="1">IF(ISERROR($S608),"",OFFSET('Smelter Reference List'!$C$4,$S608-4,0)&amp;"")</f>
        <v/>
      </c>
      <c r="E608" s="292" t="str">
        <f ca="1">IF(ISERROR($S608),"",OFFSET('Smelter Reference List'!$D$4,$S608-4,0)&amp;"")</f>
        <v/>
      </c>
      <c r="F608" s="292" t="str">
        <f ca="1">IF(ISERROR($S608),"",OFFSET('Smelter Reference List'!$E$4,$S608-4,0))</f>
        <v/>
      </c>
      <c r="G608" s="292" t="str">
        <f ca="1">IF(C608=$U$4,"Enter smelter details", IF(ISERROR($S608),"",OFFSET('Smelter Reference List'!$F$4,$S608-4,0)))</f>
        <v/>
      </c>
      <c r="H608" s="293" t="str">
        <f ca="1">IF(ISERROR($S608),"",OFFSET('Smelter Reference List'!$G$4,$S608-4,0))</f>
        <v/>
      </c>
      <c r="I608" s="294" t="str">
        <f ca="1">IF(ISERROR($S608),"",OFFSET('Smelter Reference List'!$H$4,$S608-4,0))</f>
        <v/>
      </c>
      <c r="J608" s="294" t="str">
        <f ca="1">IF(ISERROR($S608),"",OFFSET('Smelter Reference List'!$I$4,$S608-4,0))</f>
        <v/>
      </c>
      <c r="K608" s="295"/>
      <c r="L608" s="295"/>
      <c r="M608" s="295"/>
      <c r="N608" s="295"/>
      <c r="O608" s="295"/>
      <c r="P608" s="295"/>
      <c r="Q608" s="296"/>
      <c r="R608" s="227"/>
      <c r="S608" s="228" t="e">
        <f>IF(C608="",NA(),MATCH($B608&amp;$C608,'Smelter Reference List'!$J:$J,0))</f>
        <v>#N/A</v>
      </c>
      <c r="T608" s="229"/>
      <c r="U608" s="229">
        <f t="shared" ca="1" si="20"/>
        <v>0</v>
      </c>
      <c r="V608" s="229"/>
      <c r="W608" s="229"/>
      <c r="Y608" s="223" t="str">
        <f t="shared" si="21"/>
        <v/>
      </c>
    </row>
    <row r="609" spans="1:25" s="223" customFormat="1" ht="20.25">
      <c r="A609" s="291"/>
      <c r="B609" s="292" t="str">
        <f>IF(LEN(A609)=0,"",INDEX('Smelter Reference List'!$A:$A,MATCH($A609,'Smelter Reference List'!$E:$E,0)))</f>
        <v/>
      </c>
      <c r="C609" s="298" t="str">
        <f>IF(LEN(A609)=0,"",INDEX('Smelter Reference List'!$C:$C,MATCH($A609,'Smelter Reference List'!$E:$E,0)))</f>
        <v/>
      </c>
      <c r="D609" s="292" t="str">
        <f ca="1">IF(ISERROR($S609),"",OFFSET('Smelter Reference List'!$C$4,$S609-4,0)&amp;"")</f>
        <v/>
      </c>
      <c r="E609" s="292" t="str">
        <f ca="1">IF(ISERROR($S609),"",OFFSET('Smelter Reference List'!$D$4,$S609-4,0)&amp;"")</f>
        <v/>
      </c>
      <c r="F609" s="292" t="str">
        <f ca="1">IF(ISERROR($S609),"",OFFSET('Smelter Reference List'!$E$4,$S609-4,0))</f>
        <v/>
      </c>
      <c r="G609" s="292" t="str">
        <f ca="1">IF(C609=$U$4,"Enter smelter details", IF(ISERROR($S609),"",OFFSET('Smelter Reference List'!$F$4,$S609-4,0)))</f>
        <v/>
      </c>
      <c r="H609" s="293" t="str">
        <f ca="1">IF(ISERROR($S609),"",OFFSET('Smelter Reference List'!$G$4,$S609-4,0))</f>
        <v/>
      </c>
      <c r="I609" s="294" t="str">
        <f ca="1">IF(ISERROR($S609),"",OFFSET('Smelter Reference List'!$H$4,$S609-4,0))</f>
        <v/>
      </c>
      <c r="J609" s="294" t="str">
        <f ca="1">IF(ISERROR($S609),"",OFFSET('Smelter Reference List'!$I$4,$S609-4,0))</f>
        <v/>
      </c>
      <c r="K609" s="295"/>
      <c r="L609" s="295"/>
      <c r="M609" s="295"/>
      <c r="N609" s="295"/>
      <c r="O609" s="295"/>
      <c r="P609" s="295"/>
      <c r="Q609" s="296"/>
      <c r="R609" s="227"/>
      <c r="S609" s="228" t="e">
        <f>IF(C609="",NA(),MATCH($B609&amp;$C609,'Smelter Reference List'!$J:$J,0))</f>
        <v>#N/A</v>
      </c>
      <c r="T609" s="229"/>
      <c r="U609" s="229">
        <f t="shared" ca="1" si="20"/>
        <v>0</v>
      </c>
      <c r="V609" s="229"/>
      <c r="W609" s="229"/>
      <c r="Y609" s="223" t="str">
        <f t="shared" si="21"/>
        <v/>
      </c>
    </row>
    <row r="610" spans="1:25" s="223" customFormat="1" ht="20.25">
      <c r="A610" s="291"/>
      <c r="B610" s="292" t="str">
        <f>IF(LEN(A610)=0,"",INDEX('Smelter Reference List'!$A:$A,MATCH($A610,'Smelter Reference List'!$E:$E,0)))</f>
        <v/>
      </c>
      <c r="C610" s="298" t="str">
        <f>IF(LEN(A610)=0,"",INDEX('Smelter Reference List'!$C:$C,MATCH($A610,'Smelter Reference List'!$E:$E,0)))</f>
        <v/>
      </c>
      <c r="D610" s="292" t="str">
        <f ca="1">IF(ISERROR($S610),"",OFFSET('Smelter Reference List'!$C$4,$S610-4,0)&amp;"")</f>
        <v/>
      </c>
      <c r="E610" s="292" t="str">
        <f ca="1">IF(ISERROR($S610),"",OFFSET('Smelter Reference List'!$D$4,$S610-4,0)&amp;"")</f>
        <v/>
      </c>
      <c r="F610" s="292" t="str">
        <f ca="1">IF(ISERROR($S610),"",OFFSET('Smelter Reference List'!$E$4,$S610-4,0))</f>
        <v/>
      </c>
      <c r="G610" s="292" t="str">
        <f ca="1">IF(C610=$U$4,"Enter smelter details", IF(ISERROR($S610),"",OFFSET('Smelter Reference List'!$F$4,$S610-4,0)))</f>
        <v/>
      </c>
      <c r="H610" s="293" t="str">
        <f ca="1">IF(ISERROR($S610),"",OFFSET('Smelter Reference List'!$G$4,$S610-4,0))</f>
        <v/>
      </c>
      <c r="I610" s="294" t="str">
        <f ca="1">IF(ISERROR($S610),"",OFFSET('Smelter Reference List'!$H$4,$S610-4,0))</f>
        <v/>
      </c>
      <c r="J610" s="294" t="str">
        <f ca="1">IF(ISERROR($S610),"",OFFSET('Smelter Reference List'!$I$4,$S610-4,0))</f>
        <v/>
      </c>
      <c r="K610" s="295"/>
      <c r="L610" s="295"/>
      <c r="M610" s="295"/>
      <c r="N610" s="295"/>
      <c r="O610" s="295"/>
      <c r="P610" s="295"/>
      <c r="Q610" s="296"/>
      <c r="R610" s="227"/>
      <c r="S610" s="228" t="e">
        <f>IF(C610="",NA(),MATCH($B610&amp;$C610,'Smelter Reference List'!$J:$J,0))</f>
        <v>#N/A</v>
      </c>
      <c r="T610" s="229"/>
      <c r="U610" s="229">
        <f t="shared" ca="1" si="20"/>
        <v>0</v>
      </c>
      <c r="V610" s="229"/>
      <c r="W610" s="229"/>
      <c r="Y610" s="223" t="str">
        <f t="shared" si="21"/>
        <v/>
      </c>
    </row>
    <row r="611" spans="1:25" s="223" customFormat="1" ht="20.25">
      <c r="A611" s="291"/>
      <c r="B611" s="292" t="str">
        <f>IF(LEN(A611)=0,"",INDEX('Smelter Reference List'!$A:$A,MATCH($A611,'Smelter Reference List'!$E:$E,0)))</f>
        <v/>
      </c>
      <c r="C611" s="298" t="str">
        <f>IF(LEN(A611)=0,"",INDEX('Smelter Reference List'!$C:$C,MATCH($A611,'Smelter Reference List'!$E:$E,0)))</f>
        <v/>
      </c>
      <c r="D611" s="292" t="str">
        <f ca="1">IF(ISERROR($S611),"",OFFSET('Smelter Reference List'!$C$4,$S611-4,0)&amp;"")</f>
        <v/>
      </c>
      <c r="E611" s="292" t="str">
        <f ca="1">IF(ISERROR($S611),"",OFFSET('Smelter Reference List'!$D$4,$S611-4,0)&amp;"")</f>
        <v/>
      </c>
      <c r="F611" s="292" t="str">
        <f ca="1">IF(ISERROR($S611),"",OFFSET('Smelter Reference List'!$E$4,$S611-4,0))</f>
        <v/>
      </c>
      <c r="G611" s="292" t="str">
        <f ca="1">IF(C611=$U$4,"Enter smelter details", IF(ISERROR($S611),"",OFFSET('Smelter Reference List'!$F$4,$S611-4,0)))</f>
        <v/>
      </c>
      <c r="H611" s="293" t="str">
        <f ca="1">IF(ISERROR($S611),"",OFFSET('Smelter Reference List'!$G$4,$S611-4,0))</f>
        <v/>
      </c>
      <c r="I611" s="294" t="str">
        <f ca="1">IF(ISERROR($S611),"",OFFSET('Smelter Reference List'!$H$4,$S611-4,0))</f>
        <v/>
      </c>
      <c r="J611" s="294" t="str">
        <f ca="1">IF(ISERROR($S611),"",OFFSET('Smelter Reference List'!$I$4,$S611-4,0))</f>
        <v/>
      </c>
      <c r="K611" s="295"/>
      <c r="L611" s="295"/>
      <c r="M611" s="295"/>
      <c r="N611" s="295"/>
      <c r="O611" s="295"/>
      <c r="P611" s="295"/>
      <c r="Q611" s="296"/>
      <c r="R611" s="227"/>
      <c r="S611" s="228" t="e">
        <f>IF(C611="",NA(),MATCH($B611&amp;$C611,'Smelter Reference List'!$J:$J,0))</f>
        <v>#N/A</v>
      </c>
      <c r="T611" s="229"/>
      <c r="U611" s="229">
        <f t="shared" ca="1" si="20"/>
        <v>0</v>
      </c>
      <c r="V611" s="229"/>
      <c r="W611" s="229"/>
      <c r="Y611" s="223" t="str">
        <f t="shared" si="21"/>
        <v/>
      </c>
    </row>
    <row r="612" spans="1:25" s="223" customFormat="1" ht="20.25">
      <c r="A612" s="291"/>
      <c r="B612" s="292" t="str">
        <f>IF(LEN(A612)=0,"",INDEX('Smelter Reference List'!$A:$A,MATCH($A612,'Smelter Reference List'!$E:$E,0)))</f>
        <v/>
      </c>
      <c r="C612" s="298" t="str">
        <f>IF(LEN(A612)=0,"",INDEX('Smelter Reference List'!$C:$C,MATCH($A612,'Smelter Reference List'!$E:$E,0)))</f>
        <v/>
      </c>
      <c r="D612" s="292" t="str">
        <f ca="1">IF(ISERROR($S612),"",OFFSET('Smelter Reference List'!$C$4,$S612-4,0)&amp;"")</f>
        <v/>
      </c>
      <c r="E612" s="292" t="str">
        <f ca="1">IF(ISERROR($S612),"",OFFSET('Smelter Reference List'!$D$4,$S612-4,0)&amp;"")</f>
        <v/>
      </c>
      <c r="F612" s="292" t="str">
        <f ca="1">IF(ISERROR($S612),"",OFFSET('Smelter Reference List'!$E$4,$S612-4,0))</f>
        <v/>
      </c>
      <c r="G612" s="292" t="str">
        <f ca="1">IF(C612=$U$4,"Enter smelter details", IF(ISERROR($S612),"",OFFSET('Smelter Reference List'!$F$4,$S612-4,0)))</f>
        <v/>
      </c>
      <c r="H612" s="293" t="str">
        <f ca="1">IF(ISERROR($S612),"",OFFSET('Smelter Reference List'!$G$4,$S612-4,0))</f>
        <v/>
      </c>
      <c r="I612" s="294" t="str">
        <f ca="1">IF(ISERROR($S612),"",OFFSET('Smelter Reference List'!$H$4,$S612-4,0))</f>
        <v/>
      </c>
      <c r="J612" s="294" t="str">
        <f ca="1">IF(ISERROR($S612),"",OFFSET('Smelter Reference List'!$I$4,$S612-4,0))</f>
        <v/>
      </c>
      <c r="K612" s="295"/>
      <c r="L612" s="295"/>
      <c r="M612" s="295"/>
      <c r="N612" s="295"/>
      <c r="O612" s="295"/>
      <c r="P612" s="295"/>
      <c r="Q612" s="296"/>
      <c r="R612" s="227"/>
      <c r="S612" s="228" t="e">
        <f>IF(C612="",NA(),MATCH($B612&amp;$C612,'Smelter Reference List'!$J:$J,0))</f>
        <v>#N/A</v>
      </c>
      <c r="T612" s="229"/>
      <c r="U612" s="229">
        <f t="shared" ca="1" si="20"/>
        <v>0</v>
      </c>
      <c r="V612" s="229"/>
      <c r="W612" s="229"/>
      <c r="Y612" s="223" t="str">
        <f t="shared" si="21"/>
        <v/>
      </c>
    </row>
    <row r="613" spans="1:25" s="223" customFormat="1" ht="20.25">
      <c r="A613" s="291"/>
      <c r="B613" s="292" t="str">
        <f>IF(LEN(A613)=0,"",INDEX('Smelter Reference List'!$A:$A,MATCH($A613,'Smelter Reference List'!$E:$E,0)))</f>
        <v/>
      </c>
      <c r="C613" s="298" t="str">
        <f>IF(LEN(A613)=0,"",INDEX('Smelter Reference List'!$C:$C,MATCH($A613,'Smelter Reference List'!$E:$E,0)))</f>
        <v/>
      </c>
      <c r="D613" s="292" t="str">
        <f ca="1">IF(ISERROR($S613),"",OFFSET('Smelter Reference List'!$C$4,$S613-4,0)&amp;"")</f>
        <v/>
      </c>
      <c r="E613" s="292" t="str">
        <f ca="1">IF(ISERROR($S613),"",OFFSET('Smelter Reference List'!$D$4,$S613-4,0)&amp;"")</f>
        <v/>
      </c>
      <c r="F613" s="292" t="str">
        <f ca="1">IF(ISERROR($S613),"",OFFSET('Smelter Reference List'!$E$4,$S613-4,0))</f>
        <v/>
      </c>
      <c r="G613" s="292" t="str">
        <f ca="1">IF(C613=$U$4,"Enter smelter details", IF(ISERROR($S613),"",OFFSET('Smelter Reference List'!$F$4,$S613-4,0)))</f>
        <v/>
      </c>
      <c r="H613" s="293" t="str">
        <f ca="1">IF(ISERROR($S613),"",OFFSET('Smelter Reference List'!$G$4,$S613-4,0))</f>
        <v/>
      </c>
      <c r="I613" s="294" t="str">
        <f ca="1">IF(ISERROR($S613),"",OFFSET('Smelter Reference List'!$H$4,$S613-4,0))</f>
        <v/>
      </c>
      <c r="J613" s="294" t="str">
        <f ca="1">IF(ISERROR($S613),"",OFFSET('Smelter Reference List'!$I$4,$S613-4,0))</f>
        <v/>
      </c>
      <c r="K613" s="295"/>
      <c r="L613" s="295"/>
      <c r="M613" s="295"/>
      <c r="N613" s="295"/>
      <c r="O613" s="295"/>
      <c r="P613" s="295"/>
      <c r="Q613" s="296"/>
      <c r="R613" s="227"/>
      <c r="S613" s="228" t="e">
        <f>IF(C613="",NA(),MATCH($B613&amp;$C613,'Smelter Reference List'!$J:$J,0))</f>
        <v>#N/A</v>
      </c>
      <c r="T613" s="229"/>
      <c r="U613" s="229">
        <f t="shared" ca="1" si="20"/>
        <v>0</v>
      </c>
      <c r="V613" s="229"/>
      <c r="W613" s="229"/>
      <c r="Y613" s="223" t="str">
        <f t="shared" si="21"/>
        <v/>
      </c>
    </row>
    <row r="614" spans="1:25" s="223" customFormat="1" ht="20.25">
      <c r="A614" s="291"/>
      <c r="B614" s="292" t="str">
        <f>IF(LEN(A614)=0,"",INDEX('Smelter Reference List'!$A:$A,MATCH($A614,'Smelter Reference List'!$E:$E,0)))</f>
        <v/>
      </c>
      <c r="C614" s="298" t="str">
        <f>IF(LEN(A614)=0,"",INDEX('Smelter Reference List'!$C:$C,MATCH($A614,'Smelter Reference List'!$E:$E,0)))</f>
        <v/>
      </c>
      <c r="D614" s="292" t="str">
        <f ca="1">IF(ISERROR($S614),"",OFFSET('Smelter Reference List'!$C$4,$S614-4,0)&amp;"")</f>
        <v/>
      </c>
      <c r="E614" s="292" t="str">
        <f ca="1">IF(ISERROR($S614),"",OFFSET('Smelter Reference List'!$D$4,$S614-4,0)&amp;"")</f>
        <v/>
      </c>
      <c r="F614" s="292" t="str">
        <f ca="1">IF(ISERROR($S614),"",OFFSET('Smelter Reference List'!$E$4,$S614-4,0))</f>
        <v/>
      </c>
      <c r="G614" s="292" t="str">
        <f ca="1">IF(C614=$U$4,"Enter smelter details", IF(ISERROR($S614),"",OFFSET('Smelter Reference List'!$F$4,$S614-4,0)))</f>
        <v/>
      </c>
      <c r="H614" s="293" t="str">
        <f ca="1">IF(ISERROR($S614),"",OFFSET('Smelter Reference List'!$G$4,$S614-4,0))</f>
        <v/>
      </c>
      <c r="I614" s="294" t="str">
        <f ca="1">IF(ISERROR($S614),"",OFFSET('Smelter Reference List'!$H$4,$S614-4,0))</f>
        <v/>
      </c>
      <c r="J614" s="294" t="str">
        <f ca="1">IF(ISERROR($S614),"",OFFSET('Smelter Reference List'!$I$4,$S614-4,0))</f>
        <v/>
      </c>
      <c r="K614" s="295"/>
      <c r="L614" s="295"/>
      <c r="M614" s="295"/>
      <c r="N614" s="295"/>
      <c r="O614" s="295"/>
      <c r="P614" s="295"/>
      <c r="Q614" s="296"/>
      <c r="R614" s="227"/>
      <c r="S614" s="228" t="e">
        <f>IF(C614="",NA(),MATCH($B614&amp;$C614,'Smelter Reference List'!$J:$J,0))</f>
        <v>#N/A</v>
      </c>
      <c r="T614" s="229"/>
      <c r="U614" s="229">
        <f t="shared" ca="1" si="20"/>
        <v>0</v>
      </c>
      <c r="V614" s="229"/>
      <c r="W614" s="229"/>
      <c r="Y614" s="223" t="str">
        <f t="shared" si="21"/>
        <v/>
      </c>
    </row>
    <row r="615" spans="1:25" s="223" customFormat="1" ht="20.25">
      <c r="A615" s="291"/>
      <c r="B615" s="292" t="str">
        <f>IF(LEN(A615)=0,"",INDEX('Smelter Reference List'!$A:$A,MATCH($A615,'Smelter Reference List'!$E:$E,0)))</f>
        <v/>
      </c>
      <c r="C615" s="298" t="str">
        <f>IF(LEN(A615)=0,"",INDEX('Smelter Reference List'!$C:$C,MATCH($A615,'Smelter Reference List'!$E:$E,0)))</f>
        <v/>
      </c>
      <c r="D615" s="292" t="str">
        <f ca="1">IF(ISERROR($S615),"",OFFSET('Smelter Reference List'!$C$4,$S615-4,0)&amp;"")</f>
        <v/>
      </c>
      <c r="E615" s="292" t="str">
        <f ca="1">IF(ISERROR($S615),"",OFFSET('Smelter Reference List'!$D$4,$S615-4,0)&amp;"")</f>
        <v/>
      </c>
      <c r="F615" s="292" t="str">
        <f ca="1">IF(ISERROR($S615),"",OFFSET('Smelter Reference List'!$E$4,$S615-4,0))</f>
        <v/>
      </c>
      <c r="G615" s="292" t="str">
        <f ca="1">IF(C615=$U$4,"Enter smelter details", IF(ISERROR($S615),"",OFFSET('Smelter Reference List'!$F$4,$S615-4,0)))</f>
        <v/>
      </c>
      <c r="H615" s="293" t="str">
        <f ca="1">IF(ISERROR($S615),"",OFFSET('Smelter Reference List'!$G$4,$S615-4,0))</f>
        <v/>
      </c>
      <c r="I615" s="294" t="str">
        <f ca="1">IF(ISERROR($S615),"",OFFSET('Smelter Reference List'!$H$4,$S615-4,0))</f>
        <v/>
      </c>
      <c r="J615" s="294" t="str">
        <f ca="1">IF(ISERROR($S615),"",OFFSET('Smelter Reference List'!$I$4,$S615-4,0))</f>
        <v/>
      </c>
      <c r="K615" s="295"/>
      <c r="L615" s="295"/>
      <c r="M615" s="295"/>
      <c r="N615" s="295"/>
      <c r="O615" s="295"/>
      <c r="P615" s="295"/>
      <c r="Q615" s="296"/>
      <c r="R615" s="227"/>
      <c r="S615" s="228" t="e">
        <f>IF(C615="",NA(),MATCH($B615&amp;$C615,'Smelter Reference List'!$J:$J,0))</f>
        <v>#N/A</v>
      </c>
      <c r="T615" s="229"/>
      <c r="U615" s="229">
        <f t="shared" ca="1" si="20"/>
        <v>0</v>
      </c>
      <c r="V615" s="229"/>
      <c r="W615" s="229"/>
      <c r="Y615" s="223" t="str">
        <f t="shared" si="21"/>
        <v/>
      </c>
    </row>
    <row r="616" spans="1:25" s="223" customFormat="1" ht="20.25">
      <c r="A616" s="291"/>
      <c r="B616" s="292" t="str">
        <f>IF(LEN(A616)=0,"",INDEX('Smelter Reference List'!$A:$A,MATCH($A616,'Smelter Reference List'!$E:$E,0)))</f>
        <v/>
      </c>
      <c r="C616" s="298" t="str">
        <f>IF(LEN(A616)=0,"",INDEX('Smelter Reference List'!$C:$C,MATCH($A616,'Smelter Reference List'!$E:$E,0)))</f>
        <v/>
      </c>
      <c r="D616" s="292" t="str">
        <f ca="1">IF(ISERROR($S616),"",OFFSET('Smelter Reference List'!$C$4,$S616-4,0)&amp;"")</f>
        <v/>
      </c>
      <c r="E616" s="292" t="str">
        <f ca="1">IF(ISERROR($S616),"",OFFSET('Smelter Reference List'!$D$4,$S616-4,0)&amp;"")</f>
        <v/>
      </c>
      <c r="F616" s="292" t="str">
        <f ca="1">IF(ISERROR($S616),"",OFFSET('Smelter Reference List'!$E$4,$S616-4,0))</f>
        <v/>
      </c>
      <c r="G616" s="292" t="str">
        <f ca="1">IF(C616=$U$4,"Enter smelter details", IF(ISERROR($S616),"",OFFSET('Smelter Reference List'!$F$4,$S616-4,0)))</f>
        <v/>
      </c>
      <c r="H616" s="293" t="str">
        <f ca="1">IF(ISERROR($S616),"",OFFSET('Smelter Reference List'!$G$4,$S616-4,0))</f>
        <v/>
      </c>
      <c r="I616" s="294" t="str">
        <f ca="1">IF(ISERROR($S616),"",OFFSET('Smelter Reference List'!$H$4,$S616-4,0))</f>
        <v/>
      </c>
      <c r="J616" s="294" t="str">
        <f ca="1">IF(ISERROR($S616),"",OFFSET('Smelter Reference List'!$I$4,$S616-4,0))</f>
        <v/>
      </c>
      <c r="K616" s="295"/>
      <c r="L616" s="295"/>
      <c r="M616" s="295"/>
      <c r="N616" s="295"/>
      <c r="O616" s="295"/>
      <c r="P616" s="295"/>
      <c r="Q616" s="296"/>
      <c r="R616" s="227"/>
      <c r="S616" s="228" t="e">
        <f>IF(C616="",NA(),MATCH($B616&amp;$C616,'Smelter Reference List'!$J:$J,0))</f>
        <v>#N/A</v>
      </c>
      <c r="T616" s="229"/>
      <c r="U616" s="229">
        <f t="shared" ca="1" si="20"/>
        <v>0</v>
      </c>
      <c r="V616" s="229"/>
      <c r="W616" s="229"/>
      <c r="Y616" s="223" t="str">
        <f t="shared" si="21"/>
        <v/>
      </c>
    </row>
    <row r="617" spans="1:25" s="223" customFormat="1" ht="20.25">
      <c r="A617" s="291"/>
      <c r="B617" s="292" t="str">
        <f>IF(LEN(A617)=0,"",INDEX('Smelter Reference List'!$A:$A,MATCH($A617,'Smelter Reference List'!$E:$E,0)))</f>
        <v/>
      </c>
      <c r="C617" s="298" t="str">
        <f>IF(LEN(A617)=0,"",INDEX('Smelter Reference List'!$C:$C,MATCH($A617,'Smelter Reference List'!$E:$E,0)))</f>
        <v/>
      </c>
      <c r="D617" s="292" t="str">
        <f ca="1">IF(ISERROR($S617),"",OFFSET('Smelter Reference List'!$C$4,$S617-4,0)&amp;"")</f>
        <v/>
      </c>
      <c r="E617" s="292" t="str">
        <f ca="1">IF(ISERROR($S617),"",OFFSET('Smelter Reference List'!$D$4,$S617-4,0)&amp;"")</f>
        <v/>
      </c>
      <c r="F617" s="292" t="str">
        <f ca="1">IF(ISERROR($S617),"",OFFSET('Smelter Reference List'!$E$4,$S617-4,0))</f>
        <v/>
      </c>
      <c r="G617" s="292" t="str">
        <f ca="1">IF(C617=$U$4,"Enter smelter details", IF(ISERROR($S617),"",OFFSET('Smelter Reference List'!$F$4,$S617-4,0)))</f>
        <v/>
      </c>
      <c r="H617" s="293" t="str">
        <f ca="1">IF(ISERROR($S617),"",OFFSET('Smelter Reference List'!$G$4,$S617-4,0))</f>
        <v/>
      </c>
      <c r="I617" s="294" t="str">
        <f ca="1">IF(ISERROR($S617),"",OFFSET('Smelter Reference List'!$H$4,$S617-4,0))</f>
        <v/>
      </c>
      <c r="J617" s="294" t="str">
        <f ca="1">IF(ISERROR($S617),"",OFFSET('Smelter Reference List'!$I$4,$S617-4,0))</f>
        <v/>
      </c>
      <c r="K617" s="295"/>
      <c r="L617" s="295"/>
      <c r="M617" s="295"/>
      <c r="N617" s="295"/>
      <c r="O617" s="295"/>
      <c r="P617" s="295"/>
      <c r="Q617" s="296"/>
      <c r="R617" s="227"/>
      <c r="S617" s="228" t="e">
        <f>IF(C617="",NA(),MATCH($B617&amp;$C617,'Smelter Reference List'!$J:$J,0))</f>
        <v>#N/A</v>
      </c>
      <c r="T617" s="229"/>
      <c r="U617" s="229">
        <f t="shared" ca="1" si="20"/>
        <v>0</v>
      </c>
      <c r="V617" s="229"/>
      <c r="W617" s="229"/>
      <c r="Y617" s="223" t="str">
        <f t="shared" si="21"/>
        <v/>
      </c>
    </row>
    <row r="618" spans="1:25" s="223" customFormat="1" ht="20.25">
      <c r="A618" s="291"/>
      <c r="B618" s="292" t="str">
        <f>IF(LEN(A618)=0,"",INDEX('Smelter Reference List'!$A:$A,MATCH($A618,'Smelter Reference List'!$E:$E,0)))</f>
        <v/>
      </c>
      <c r="C618" s="298" t="str">
        <f>IF(LEN(A618)=0,"",INDEX('Smelter Reference List'!$C:$C,MATCH($A618,'Smelter Reference List'!$E:$E,0)))</f>
        <v/>
      </c>
      <c r="D618" s="292" t="str">
        <f ca="1">IF(ISERROR($S618),"",OFFSET('Smelter Reference List'!$C$4,$S618-4,0)&amp;"")</f>
        <v/>
      </c>
      <c r="E618" s="292" t="str">
        <f ca="1">IF(ISERROR($S618),"",OFFSET('Smelter Reference List'!$D$4,$S618-4,0)&amp;"")</f>
        <v/>
      </c>
      <c r="F618" s="292" t="str">
        <f ca="1">IF(ISERROR($S618),"",OFFSET('Smelter Reference List'!$E$4,$S618-4,0))</f>
        <v/>
      </c>
      <c r="G618" s="292" t="str">
        <f ca="1">IF(C618=$U$4,"Enter smelter details", IF(ISERROR($S618),"",OFFSET('Smelter Reference List'!$F$4,$S618-4,0)))</f>
        <v/>
      </c>
      <c r="H618" s="293" t="str">
        <f ca="1">IF(ISERROR($S618),"",OFFSET('Smelter Reference List'!$G$4,$S618-4,0))</f>
        <v/>
      </c>
      <c r="I618" s="294" t="str">
        <f ca="1">IF(ISERROR($S618),"",OFFSET('Smelter Reference List'!$H$4,$S618-4,0))</f>
        <v/>
      </c>
      <c r="J618" s="294" t="str">
        <f ca="1">IF(ISERROR($S618),"",OFFSET('Smelter Reference List'!$I$4,$S618-4,0))</f>
        <v/>
      </c>
      <c r="K618" s="295"/>
      <c r="L618" s="295"/>
      <c r="M618" s="295"/>
      <c r="N618" s="295"/>
      <c r="O618" s="295"/>
      <c r="P618" s="295"/>
      <c r="Q618" s="296"/>
      <c r="R618" s="227"/>
      <c r="S618" s="228" t="e">
        <f>IF(C618="",NA(),MATCH($B618&amp;$C618,'Smelter Reference List'!$J:$J,0))</f>
        <v>#N/A</v>
      </c>
      <c r="T618" s="229"/>
      <c r="U618" s="229">
        <f t="shared" ca="1" si="20"/>
        <v>0</v>
      </c>
      <c r="V618" s="229"/>
      <c r="W618" s="229"/>
      <c r="Y618" s="223" t="str">
        <f t="shared" si="21"/>
        <v/>
      </c>
    </row>
    <row r="619" spans="1:25" s="223" customFormat="1" ht="20.25">
      <c r="A619" s="291"/>
      <c r="B619" s="292" t="str">
        <f>IF(LEN(A619)=0,"",INDEX('Smelter Reference List'!$A:$A,MATCH($A619,'Smelter Reference List'!$E:$E,0)))</f>
        <v/>
      </c>
      <c r="C619" s="298" t="str">
        <f>IF(LEN(A619)=0,"",INDEX('Smelter Reference List'!$C:$C,MATCH($A619,'Smelter Reference List'!$E:$E,0)))</f>
        <v/>
      </c>
      <c r="D619" s="292" t="str">
        <f ca="1">IF(ISERROR($S619),"",OFFSET('Smelter Reference List'!$C$4,$S619-4,0)&amp;"")</f>
        <v/>
      </c>
      <c r="E619" s="292" t="str">
        <f ca="1">IF(ISERROR($S619),"",OFFSET('Smelter Reference List'!$D$4,$S619-4,0)&amp;"")</f>
        <v/>
      </c>
      <c r="F619" s="292" t="str">
        <f ca="1">IF(ISERROR($S619),"",OFFSET('Smelter Reference List'!$E$4,$S619-4,0))</f>
        <v/>
      </c>
      <c r="G619" s="292" t="str">
        <f ca="1">IF(C619=$U$4,"Enter smelter details", IF(ISERROR($S619),"",OFFSET('Smelter Reference List'!$F$4,$S619-4,0)))</f>
        <v/>
      </c>
      <c r="H619" s="293" t="str">
        <f ca="1">IF(ISERROR($S619),"",OFFSET('Smelter Reference List'!$G$4,$S619-4,0))</f>
        <v/>
      </c>
      <c r="I619" s="294" t="str">
        <f ca="1">IF(ISERROR($S619),"",OFFSET('Smelter Reference List'!$H$4,$S619-4,0))</f>
        <v/>
      </c>
      <c r="J619" s="294" t="str">
        <f ca="1">IF(ISERROR($S619),"",OFFSET('Smelter Reference List'!$I$4,$S619-4,0))</f>
        <v/>
      </c>
      <c r="K619" s="295"/>
      <c r="L619" s="295"/>
      <c r="M619" s="295"/>
      <c r="N619" s="295"/>
      <c r="O619" s="295"/>
      <c r="P619" s="295"/>
      <c r="Q619" s="296"/>
      <c r="R619" s="227"/>
      <c r="S619" s="228" t="e">
        <f>IF(C619="",NA(),MATCH($B619&amp;$C619,'Smelter Reference List'!$J:$J,0))</f>
        <v>#N/A</v>
      </c>
      <c r="T619" s="229"/>
      <c r="U619" s="229">
        <f t="shared" ca="1" si="20"/>
        <v>0</v>
      </c>
      <c r="V619" s="229"/>
      <c r="W619" s="229"/>
      <c r="Y619" s="223" t="str">
        <f t="shared" si="21"/>
        <v/>
      </c>
    </row>
    <row r="620" spans="1:25" s="223" customFormat="1" ht="20.25">
      <c r="A620" s="291"/>
      <c r="B620" s="292" t="str">
        <f>IF(LEN(A620)=0,"",INDEX('Smelter Reference List'!$A:$A,MATCH($A620,'Smelter Reference List'!$E:$E,0)))</f>
        <v/>
      </c>
      <c r="C620" s="298" t="str">
        <f>IF(LEN(A620)=0,"",INDEX('Smelter Reference List'!$C:$C,MATCH($A620,'Smelter Reference List'!$E:$E,0)))</f>
        <v/>
      </c>
      <c r="D620" s="292" t="str">
        <f ca="1">IF(ISERROR($S620),"",OFFSET('Smelter Reference List'!$C$4,$S620-4,0)&amp;"")</f>
        <v/>
      </c>
      <c r="E620" s="292" t="str">
        <f ca="1">IF(ISERROR($S620),"",OFFSET('Smelter Reference List'!$D$4,$S620-4,0)&amp;"")</f>
        <v/>
      </c>
      <c r="F620" s="292" t="str">
        <f ca="1">IF(ISERROR($S620),"",OFFSET('Smelter Reference List'!$E$4,$S620-4,0))</f>
        <v/>
      </c>
      <c r="G620" s="292" t="str">
        <f ca="1">IF(C620=$U$4,"Enter smelter details", IF(ISERROR($S620),"",OFFSET('Smelter Reference List'!$F$4,$S620-4,0)))</f>
        <v/>
      </c>
      <c r="H620" s="293" t="str">
        <f ca="1">IF(ISERROR($S620),"",OFFSET('Smelter Reference List'!$G$4,$S620-4,0))</f>
        <v/>
      </c>
      <c r="I620" s="294" t="str">
        <f ca="1">IF(ISERROR($S620),"",OFFSET('Smelter Reference List'!$H$4,$S620-4,0))</f>
        <v/>
      </c>
      <c r="J620" s="294" t="str">
        <f ca="1">IF(ISERROR($S620),"",OFFSET('Smelter Reference List'!$I$4,$S620-4,0))</f>
        <v/>
      </c>
      <c r="K620" s="295"/>
      <c r="L620" s="295"/>
      <c r="M620" s="295"/>
      <c r="N620" s="295"/>
      <c r="O620" s="295"/>
      <c r="P620" s="295"/>
      <c r="Q620" s="296"/>
      <c r="R620" s="227"/>
      <c r="S620" s="228" t="e">
        <f>IF(C620="",NA(),MATCH($B620&amp;$C620,'Smelter Reference List'!$J:$J,0))</f>
        <v>#N/A</v>
      </c>
      <c r="T620" s="229"/>
      <c r="U620" s="229">
        <f t="shared" ca="1" si="20"/>
        <v>0</v>
      </c>
      <c r="V620" s="229"/>
      <c r="W620" s="229"/>
      <c r="Y620" s="223" t="str">
        <f t="shared" si="21"/>
        <v/>
      </c>
    </row>
    <row r="621" spans="1:25" s="223" customFormat="1" ht="20.25">
      <c r="A621" s="291"/>
      <c r="B621" s="292" t="str">
        <f>IF(LEN(A621)=0,"",INDEX('Smelter Reference List'!$A:$A,MATCH($A621,'Smelter Reference List'!$E:$E,0)))</f>
        <v/>
      </c>
      <c r="C621" s="298" t="str">
        <f>IF(LEN(A621)=0,"",INDEX('Smelter Reference List'!$C:$C,MATCH($A621,'Smelter Reference List'!$E:$E,0)))</f>
        <v/>
      </c>
      <c r="D621" s="292" t="str">
        <f ca="1">IF(ISERROR($S621),"",OFFSET('Smelter Reference List'!$C$4,$S621-4,0)&amp;"")</f>
        <v/>
      </c>
      <c r="E621" s="292" t="str">
        <f ca="1">IF(ISERROR($S621),"",OFFSET('Smelter Reference List'!$D$4,$S621-4,0)&amp;"")</f>
        <v/>
      </c>
      <c r="F621" s="292" t="str">
        <f ca="1">IF(ISERROR($S621),"",OFFSET('Smelter Reference List'!$E$4,$S621-4,0))</f>
        <v/>
      </c>
      <c r="G621" s="292" t="str">
        <f ca="1">IF(C621=$U$4,"Enter smelter details", IF(ISERROR($S621),"",OFFSET('Smelter Reference List'!$F$4,$S621-4,0)))</f>
        <v/>
      </c>
      <c r="H621" s="293" t="str">
        <f ca="1">IF(ISERROR($S621),"",OFFSET('Smelter Reference List'!$G$4,$S621-4,0))</f>
        <v/>
      </c>
      <c r="I621" s="294" t="str">
        <f ca="1">IF(ISERROR($S621),"",OFFSET('Smelter Reference List'!$H$4,$S621-4,0))</f>
        <v/>
      </c>
      <c r="J621" s="294" t="str">
        <f ca="1">IF(ISERROR($S621),"",OFFSET('Smelter Reference List'!$I$4,$S621-4,0))</f>
        <v/>
      </c>
      <c r="K621" s="295"/>
      <c r="L621" s="295"/>
      <c r="M621" s="295"/>
      <c r="N621" s="295"/>
      <c r="O621" s="295"/>
      <c r="P621" s="295"/>
      <c r="Q621" s="296"/>
      <c r="R621" s="227"/>
      <c r="S621" s="228" t="e">
        <f>IF(C621="",NA(),MATCH($B621&amp;$C621,'Smelter Reference List'!$J:$J,0))</f>
        <v>#N/A</v>
      </c>
      <c r="T621" s="229"/>
      <c r="U621" s="229">
        <f t="shared" ca="1" si="20"/>
        <v>0</v>
      </c>
      <c r="V621" s="229"/>
      <c r="W621" s="229"/>
      <c r="Y621" s="223" t="str">
        <f t="shared" si="21"/>
        <v/>
      </c>
    </row>
    <row r="622" spans="1:25" s="223" customFormat="1" ht="20.25">
      <c r="A622" s="291"/>
      <c r="B622" s="292" t="str">
        <f>IF(LEN(A622)=0,"",INDEX('Smelter Reference List'!$A:$A,MATCH($A622,'Smelter Reference List'!$E:$E,0)))</f>
        <v/>
      </c>
      <c r="C622" s="298" t="str">
        <f>IF(LEN(A622)=0,"",INDEX('Smelter Reference List'!$C:$C,MATCH($A622,'Smelter Reference List'!$E:$E,0)))</f>
        <v/>
      </c>
      <c r="D622" s="292" t="str">
        <f ca="1">IF(ISERROR($S622),"",OFFSET('Smelter Reference List'!$C$4,$S622-4,0)&amp;"")</f>
        <v/>
      </c>
      <c r="E622" s="292" t="str">
        <f ca="1">IF(ISERROR($S622),"",OFFSET('Smelter Reference List'!$D$4,$S622-4,0)&amp;"")</f>
        <v/>
      </c>
      <c r="F622" s="292" t="str">
        <f ca="1">IF(ISERROR($S622),"",OFFSET('Smelter Reference List'!$E$4,$S622-4,0))</f>
        <v/>
      </c>
      <c r="G622" s="292" t="str">
        <f ca="1">IF(C622=$U$4,"Enter smelter details", IF(ISERROR($S622),"",OFFSET('Smelter Reference List'!$F$4,$S622-4,0)))</f>
        <v/>
      </c>
      <c r="H622" s="293" t="str">
        <f ca="1">IF(ISERROR($S622),"",OFFSET('Smelter Reference List'!$G$4,$S622-4,0))</f>
        <v/>
      </c>
      <c r="I622" s="294" t="str">
        <f ca="1">IF(ISERROR($S622),"",OFFSET('Smelter Reference List'!$H$4,$S622-4,0))</f>
        <v/>
      </c>
      <c r="J622" s="294" t="str">
        <f ca="1">IF(ISERROR($S622),"",OFFSET('Smelter Reference List'!$I$4,$S622-4,0))</f>
        <v/>
      </c>
      <c r="K622" s="295"/>
      <c r="L622" s="295"/>
      <c r="M622" s="295"/>
      <c r="N622" s="295"/>
      <c r="O622" s="295"/>
      <c r="P622" s="295"/>
      <c r="Q622" s="296"/>
      <c r="R622" s="227"/>
      <c r="S622" s="228" t="e">
        <f>IF(C622="",NA(),MATCH($B622&amp;$C622,'Smelter Reference List'!$J:$J,0))</f>
        <v>#N/A</v>
      </c>
      <c r="T622" s="229"/>
      <c r="U622" s="229">
        <f t="shared" ca="1" si="20"/>
        <v>0</v>
      </c>
      <c r="V622" s="229"/>
      <c r="W622" s="229"/>
      <c r="Y622" s="223" t="str">
        <f t="shared" si="21"/>
        <v/>
      </c>
    </row>
    <row r="623" spans="1:25" s="223" customFormat="1" ht="20.25">
      <c r="A623" s="291"/>
      <c r="B623" s="292" t="str">
        <f>IF(LEN(A623)=0,"",INDEX('Smelter Reference List'!$A:$A,MATCH($A623,'Smelter Reference List'!$E:$E,0)))</f>
        <v/>
      </c>
      <c r="C623" s="298" t="str">
        <f>IF(LEN(A623)=0,"",INDEX('Smelter Reference List'!$C:$C,MATCH($A623,'Smelter Reference List'!$E:$E,0)))</f>
        <v/>
      </c>
      <c r="D623" s="292" t="str">
        <f ca="1">IF(ISERROR($S623),"",OFFSET('Smelter Reference List'!$C$4,$S623-4,0)&amp;"")</f>
        <v/>
      </c>
      <c r="E623" s="292" t="str">
        <f ca="1">IF(ISERROR($S623),"",OFFSET('Smelter Reference List'!$D$4,$S623-4,0)&amp;"")</f>
        <v/>
      </c>
      <c r="F623" s="292" t="str">
        <f ca="1">IF(ISERROR($S623),"",OFFSET('Smelter Reference List'!$E$4,$S623-4,0))</f>
        <v/>
      </c>
      <c r="G623" s="292" t="str">
        <f ca="1">IF(C623=$U$4,"Enter smelter details", IF(ISERROR($S623),"",OFFSET('Smelter Reference List'!$F$4,$S623-4,0)))</f>
        <v/>
      </c>
      <c r="H623" s="293" t="str">
        <f ca="1">IF(ISERROR($S623),"",OFFSET('Smelter Reference List'!$G$4,$S623-4,0))</f>
        <v/>
      </c>
      <c r="I623" s="294" t="str">
        <f ca="1">IF(ISERROR($S623),"",OFFSET('Smelter Reference List'!$H$4,$S623-4,0))</f>
        <v/>
      </c>
      <c r="J623" s="294" t="str">
        <f ca="1">IF(ISERROR($S623),"",OFFSET('Smelter Reference List'!$I$4,$S623-4,0))</f>
        <v/>
      </c>
      <c r="K623" s="295"/>
      <c r="L623" s="295"/>
      <c r="M623" s="295"/>
      <c r="N623" s="295"/>
      <c r="O623" s="295"/>
      <c r="P623" s="295"/>
      <c r="Q623" s="296"/>
      <c r="R623" s="227"/>
      <c r="S623" s="228" t="e">
        <f>IF(C623="",NA(),MATCH($B623&amp;$C623,'Smelter Reference List'!$J:$J,0))</f>
        <v>#N/A</v>
      </c>
      <c r="T623" s="229"/>
      <c r="U623" s="229">
        <f t="shared" ca="1" si="20"/>
        <v>0</v>
      </c>
      <c r="V623" s="229"/>
      <c r="W623" s="229"/>
      <c r="Y623" s="223" t="str">
        <f t="shared" si="21"/>
        <v/>
      </c>
    </row>
    <row r="624" spans="1:25" s="223" customFormat="1" ht="20.25">
      <c r="A624" s="291"/>
      <c r="B624" s="292" t="str">
        <f>IF(LEN(A624)=0,"",INDEX('Smelter Reference List'!$A:$A,MATCH($A624,'Smelter Reference List'!$E:$E,0)))</f>
        <v/>
      </c>
      <c r="C624" s="298" t="str">
        <f>IF(LEN(A624)=0,"",INDEX('Smelter Reference List'!$C:$C,MATCH($A624,'Smelter Reference List'!$E:$E,0)))</f>
        <v/>
      </c>
      <c r="D624" s="292" t="str">
        <f ca="1">IF(ISERROR($S624),"",OFFSET('Smelter Reference List'!$C$4,$S624-4,0)&amp;"")</f>
        <v/>
      </c>
      <c r="E624" s="292" t="str">
        <f ca="1">IF(ISERROR($S624),"",OFFSET('Smelter Reference List'!$D$4,$S624-4,0)&amp;"")</f>
        <v/>
      </c>
      <c r="F624" s="292" t="str">
        <f ca="1">IF(ISERROR($S624),"",OFFSET('Smelter Reference List'!$E$4,$S624-4,0))</f>
        <v/>
      </c>
      <c r="G624" s="292" t="str">
        <f ca="1">IF(C624=$U$4,"Enter smelter details", IF(ISERROR($S624),"",OFFSET('Smelter Reference List'!$F$4,$S624-4,0)))</f>
        <v/>
      </c>
      <c r="H624" s="293" t="str">
        <f ca="1">IF(ISERROR($S624),"",OFFSET('Smelter Reference List'!$G$4,$S624-4,0))</f>
        <v/>
      </c>
      <c r="I624" s="294" t="str">
        <f ca="1">IF(ISERROR($S624),"",OFFSET('Smelter Reference List'!$H$4,$S624-4,0))</f>
        <v/>
      </c>
      <c r="J624" s="294" t="str">
        <f ca="1">IF(ISERROR($S624),"",OFFSET('Smelter Reference List'!$I$4,$S624-4,0))</f>
        <v/>
      </c>
      <c r="K624" s="295"/>
      <c r="L624" s="295"/>
      <c r="M624" s="295"/>
      <c r="N624" s="295"/>
      <c r="O624" s="295"/>
      <c r="P624" s="295"/>
      <c r="Q624" s="296"/>
      <c r="R624" s="227"/>
      <c r="S624" s="228" t="e">
        <f>IF(C624="",NA(),MATCH($B624&amp;$C624,'Smelter Reference List'!$J:$J,0))</f>
        <v>#N/A</v>
      </c>
      <c r="T624" s="229"/>
      <c r="U624" s="229">
        <f t="shared" ca="1" si="20"/>
        <v>0</v>
      </c>
      <c r="V624" s="229"/>
      <c r="W624" s="229"/>
      <c r="Y624" s="223" t="str">
        <f t="shared" si="21"/>
        <v/>
      </c>
    </row>
    <row r="625" spans="1:25" s="223" customFormat="1" ht="20.25">
      <c r="A625" s="291"/>
      <c r="B625" s="292" t="str">
        <f>IF(LEN(A625)=0,"",INDEX('Smelter Reference List'!$A:$A,MATCH($A625,'Smelter Reference List'!$E:$E,0)))</f>
        <v/>
      </c>
      <c r="C625" s="298" t="str">
        <f>IF(LEN(A625)=0,"",INDEX('Smelter Reference List'!$C:$C,MATCH($A625,'Smelter Reference List'!$E:$E,0)))</f>
        <v/>
      </c>
      <c r="D625" s="292" t="str">
        <f ca="1">IF(ISERROR($S625),"",OFFSET('Smelter Reference List'!$C$4,$S625-4,0)&amp;"")</f>
        <v/>
      </c>
      <c r="E625" s="292" t="str">
        <f ca="1">IF(ISERROR($S625),"",OFFSET('Smelter Reference List'!$D$4,$S625-4,0)&amp;"")</f>
        <v/>
      </c>
      <c r="F625" s="292" t="str">
        <f ca="1">IF(ISERROR($S625),"",OFFSET('Smelter Reference List'!$E$4,$S625-4,0))</f>
        <v/>
      </c>
      <c r="G625" s="292" t="str">
        <f ca="1">IF(C625=$U$4,"Enter smelter details", IF(ISERROR($S625),"",OFFSET('Smelter Reference List'!$F$4,$S625-4,0)))</f>
        <v/>
      </c>
      <c r="H625" s="293" t="str">
        <f ca="1">IF(ISERROR($S625),"",OFFSET('Smelter Reference List'!$G$4,$S625-4,0))</f>
        <v/>
      </c>
      <c r="I625" s="294" t="str">
        <f ca="1">IF(ISERROR($S625),"",OFFSET('Smelter Reference List'!$H$4,$S625-4,0))</f>
        <v/>
      </c>
      <c r="J625" s="294" t="str">
        <f ca="1">IF(ISERROR($S625),"",OFFSET('Smelter Reference List'!$I$4,$S625-4,0))</f>
        <v/>
      </c>
      <c r="K625" s="295"/>
      <c r="L625" s="295"/>
      <c r="M625" s="295"/>
      <c r="N625" s="295"/>
      <c r="O625" s="295"/>
      <c r="P625" s="295"/>
      <c r="Q625" s="296"/>
      <c r="R625" s="227"/>
      <c r="S625" s="228" t="e">
        <f>IF(C625="",NA(),MATCH($B625&amp;$C625,'Smelter Reference List'!$J:$J,0))</f>
        <v>#N/A</v>
      </c>
      <c r="T625" s="229"/>
      <c r="U625" s="229">
        <f t="shared" ca="1" si="20"/>
        <v>0</v>
      </c>
      <c r="V625" s="229"/>
      <c r="W625" s="229"/>
      <c r="Y625" s="223" t="str">
        <f t="shared" si="21"/>
        <v/>
      </c>
    </row>
    <row r="626" spans="1:25" s="223" customFormat="1" ht="20.25">
      <c r="A626" s="291"/>
      <c r="B626" s="292" t="str">
        <f>IF(LEN(A626)=0,"",INDEX('Smelter Reference List'!$A:$A,MATCH($A626,'Smelter Reference List'!$E:$E,0)))</f>
        <v/>
      </c>
      <c r="C626" s="298" t="str">
        <f>IF(LEN(A626)=0,"",INDEX('Smelter Reference List'!$C:$C,MATCH($A626,'Smelter Reference List'!$E:$E,0)))</f>
        <v/>
      </c>
      <c r="D626" s="292" t="str">
        <f ca="1">IF(ISERROR($S626),"",OFFSET('Smelter Reference List'!$C$4,$S626-4,0)&amp;"")</f>
        <v/>
      </c>
      <c r="E626" s="292" t="str">
        <f ca="1">IF(ISERROR($S626),"",OFFSET('Smelter Reference List'!$D$4,$S626-4,0)&amp;"")</f>
        <v/>
      </c>
      <c r="F626" s="292" t="str">
        <f ca="1">IF(ISERROR($S626),"",OFFSET('Smelter Reference List'!$E$4,$S626-4,0))</f>
        <v/>
      </c>
      <c r="G626" s="292" t="str">
        <f ca="1">IF(C626=$U$4,"Enter smelter details", IF(ISERROR($S626),"",OFFSET('Smelter Reference List'!$F$4,$S626-4,0)))</f>
        <v/>
      </c>
      <c r="H626" s="293" t="str">
        <f ca="1">IF(ISERROR($S626),"",OFFSET('Smelter Reference List'!$G$4,$S626-4,0))</f>
        <v/>
      </c>
      <c r="I626" s="294" t="str">
        <f ca="1">IF(ISERROR($S626),"",OFFSET('Smelter Reference List'!$H$4,$S626-4,0))</f>
        <v/>
      </c>
      <c r="J626" s="294" t="str">
        <f ca="1">IF(ISERROR($S626),"",OFFSET('Smelter Reference List'!$I$4,$S626-4,0))</f>
        <v/>
      </c>
      <c r="K626" s="295"/>
      <c r="L626" s="295"/>
      <c r="M626" s="295"/>
      <c r="N626" s="295"/>
      <c r="O626" s="295"/>
      <c r="P626" s="295"/>
      <c r="Q626" s="296"/>
      <c r="R626" s="227"/>
      <c r="S626" s="228" t="e">
        <f>IF(C626="",NA(),MATCH($B626&amp;$C626,'Smelter Reference List'!$J:$J,0))</f>
        <v>#N/A</v>
      </c>
      <c r="T626" s="229"/>
      <c r="U626" s="229">
        <f t="shared" ca="1" si="20"/>
        <v>0</v>
      </c>
      <c r="V626" s="229"/>
      <c r="W626" s="229"/>
      <c r="Y626" s="223" t="str">
        <f t="shared" si="21"/>
        <v/>
      </c>
    </row>
    <row r="627" spans="1:25" s="223" customFormat="1" ht="20.25">
      <c r="A627" s="291"/>
      <c r="B627" s="292" t="str">
        <f>IF(LEN(A627)=0,"",INDEX('Smelter Reference List'!$A:$A,MATCH($A627,'Smelter Reference List'!$E:$E,0)))</f>
        <v/>
      </c>
      <c r="C627" s="298" t="str">
        <f>IF(LEN(A627)=0,"",INDEX('Smelter Reference List'!$C:$C,MATCH($A627,'Smelter Reference List'!$E:$E,0)))</f>
        <v/>
      </c>
      <c r="D627" s="292" t="str">
        <f ca="1">IF(ISERROR($S627),"",OFFSET('Smelter Reference List'!$C$4,$S627-4,0)&amp;"")</f>
        <v/>
      </c>
      <c r="E627" s="292" t="str">
        <f ca="1">IF(ISERROR($S627),"",OFFSET('Smelter Reference List'!$D$4,$S627-4,0)&amp;"")</f>
        <v/>
      </c>
      <c r="F627" s="292" t="str">
        <f ca="1">IF(ISERROR($S627),"",OFFSET('Smelter Reference List'!$E$4,$S627-4,0))</f>
        <v/>
      </c>
      <c r="G627" s="292" t="str">
        <f ca="1">IF(C627=$U$4,"Enter smelter details", IF(ISERROR($S627),"",OFFSET('Smelter Reference List'!$F$4,$S627-4,0)))</f>
        <v/>
      </c>
      <c r="H627" s="293" t="str">
        <f ca="1">IF(ISERROR($S627),"",OFFSET('Smelter Reference List'!$G$4,$S627-4,0))</f>
        <v/>
      </c>
      <c r="I627" s="294" t="str">
        <f ca="1">IF(ISERROR($S627),"",OFFSET('Smelter Reference List'!$H$4,$S627-4,0))</f>
        <v/>
      </c>
      <c r="J627" s="294" t="str">
        <f ca="1">IF(ISERROR($S627),"",OFFSET('Smelter Reference List'!$I$4,$S627-4,0))</f>
        <v/>
      </c>
      <c r="K627" s="295"/>
      <c r="L627" s="295"/>
      <c r="M627" s="295"/>
      <c r="N627" s="295"/>
      <c r="O627" s="295"/>
      <c r="P627" s="295"/>
      <c r="Q627" s="296"/>
      <c r="R627" s="227"/>
      <c r="S627" s="228" t="e">
        <f>IF(C627="",NA(),MATCH($B627&amp;$C627,'Smelter Reference List'!$J:$J,0))</f>
        <v>#N/A</v>
      </c>
      <c r="T627" s="229"/>
      <c r="U627" s="229">
        <f t="shared" ca="1" si="20"/>
        <v>0</v>
      </c>
      <c r="V627" s="229"/>
      <c r="W627" s="229"/>
      <c r="Y627" s="223" t="str">
        <f t="shared" si="21"/>
        <v/>
      </c>
    </row>
    <row r="628" spans="1:25" s="223" customFormat="1" ht="20.25">
      <c r="A628" s="291"/>
      <c r="B628" s="292" t="str">
        <f>IF(LEN(A628)=0,"",INDEX('Smelter Reference List'!$A:$A,MATCH($A628,'Smelter Reference List'!$E:$E,0)))</f>
        <v/>
      </c>
      <c r="C628" s="298" t="str">
        <f>IF(LEN(A628)=0,"",INDEX('Smelter Reference List'!$C:$C,MATCH($A628,'Smelter Reference List'!$E:$E,0)))</f>
        <v/>
      </c>
      <c r="D628" s="292" t="str">
        <f ca="1">IF(ISERROR($S628),"",OFFSET('Smelter Reference List'!$C$4,$S628-4,0)&amp;"")</f>
        <v/>
      </c>
      <c r="E628" s="292" t="str">
        <f ca="1">IF(ISERROR($S628),"",OFFSET('Smelter Reference List'!$D$4,$S628-4,0)&amp;"")</f>
        <v/>
      </c>
      <c r="F628" s="292" t="str">
        <f ca="1">IF(ISERROR($S628),"",OFFSET('Smelter Reference List'!$E$4,$S628-4,0))</f>
        <v/>
      </c>
      <c r="G628" s="292" t="str">
        <f ca="1">IF(C628=$U$4,"Enter smelter details", IF(ISERROR($S628),"",OFFSET('Smelter Reference List'!$F$4,$S628-4,0)))</f>
        <v/>
      </c>
      <c r="H628" s="293" t="str">
        <f ca="1">IF(ISERROR($S628),"",OFFSET('Smelter Reference List'!$G$4,$S628-4,0))</f>
        <v/>
      </c>
      <c r="I628" s="294" t="str">
        <f ca="1">IF(ISERROR($S628),"",OFFSET('Smelter Reference List'!$H$4,$S628-4,0))</f>
        <v/>
      </c>
      <c r="J628" s="294" t="str">
        <f ca="1">IF(ISERROR($S628),"",OFFSET('Smelter Reference List'!$I$4,$S628-4,0))</f>
        <v/>
      </c>
      <c r="K628" s="295"/>
      <c r="L628" s="295"/>
      <c r="M628" s="295"/>
      <c r="N628" s="295"/>
      <c r="O628" s="295"/>
      <c r="P628" s="295"/>
      <c r="Q628" s="296"/>
      <c r="R628" s="227"/>
      <c r="S628" s="228" t="e">
        <f>IF(C628="",NA(),MATCH($B628&amp;$C628,'Smelter Reference List'!$J:$J,0))</f>
        <v>#N/A</v>
      </c>
      <c r="T628" s="229"/>
      <c r="U628" s="229">
        <f t="shared" ca="1" si="20"/>
        <v>0</v>
      </c>
      <c r="V628" s="229"/>
      <c r="W628" s="229"/>
      <c r="Y628" s="223" t="str">
        <f t="shared" si="21"/>
        <v/>
      </c>
    </row>
    <row r="629" spans="1:25" s="223" customFormat="1" ht="20.25">
      <c r="A629" s="291"/>
      <c r="B629" s="292" t="str">
        <f>IF(LEN(A629)=0,"",INDEX('Smelter Reference List'!$A:$A,MATCH($A629,'Smelter Reference List'!$E:$E,0)))</f>
        <v/>
      </c>
      <c r="C629" s="298" t="str">
        <f>IF(LEN(A629)=0,"",INDEX('Smelter Reference List'!$C:$C,MATCH($A629,'Smelter Reference List'!$E:$E,0)))</f>
        <v/>
      </c>
      <c r="D629" s="292" t="str">
        <f ca="1">IF(ISERROR($S629),"",OFFSET('Smelter Reference List'!$C$4,$S629-4,0)&amp;"")</f>
        <v/>
      </c>
      <c r="E629" s="292" t="str">
        <f ca="1">IF(ISERROR($S629),"",OFFSET('Smelter Reference List'!$D$4,$S629-4,0)&amp;"")</f>
        <v/>
      </c>
      <c r="F629" s="292" t="str">
        <f ca="1">IF(ISERROR($S629),"",OFFSET('Smelter Reference List'!$E$4,$S629-4,0))</f>
        <v/>
      </c>
      <c r="G629" s="292" t="str">
        <f ca="1">IF(C629=$U$4,"Enter smelter details", IF(ISERROR($S629),"",OFFSET('Smelter Reference List'!$F$4,$S629-4,0)))</f>
        <v/>
      </c>
      <c r="H629" s="293" t="str">
        <f ca="1">IF(ISERROR($S629),"",OFFSET('Smelter Reference List'!$G$4,$S629-4,0))</f>
        <v/>
      </c>
      <c r="I629" s="294" t="str">
        <f ca="1">IF(ISERROR($S629),"",OFFSET('Smelter Reference List'!$H$4,$S629-4,0))</f>
        <v/>
      </c>
      <c r="J629" s="294" t="str">
        <f ca="1">IF(ISERROR($S629),"",OFFSET('Smelter Reference List'!$I$4,$S629-4,0))</f>
        <v/>
      </c>
      <c r="K629" s="295"/>
      <c r="L629" s="295"/>
      <c r="M629" s="295"/>
      <c r="N629" s="295"/>
      <c r="O629" s="295"/>
      <c r="P629" s="295"/>
      <c r="Q629" s="296"/>
      <c r="R629" s="227"/>
      <c r="S629" s="228" t="e">
        <f>IF(C629="",NA(),MATCH($B629&amp;$C629,'Smelter Reference List'!$J:$J,0))</f>
        <v>#N/A</v>
      </c>
      <c r="T629" s="229"/>
      <c r="U629" s="229">
        <f t="shared" ca="1" si="20"/>
        <v>0</v>
      </c>
      <c r="V629" s="229"/>
      <c r="W629" s="229"/>
      <c r="Y629" s="223" t="str">
        <f t="shared" si="21"/>
        <v/>
      </c>
    </row>
    <row r="630" spans="1:25" s="223" customFormat="1" ht="20.25">
      <c r="A630" s="291"/>
      <c r="B630" s="292" t="str">
        <f>IF(LEN(A630)=0,"",INDEX('Smelter Reference List'!$A:$A,MATCH($A630,'Smelter Reference List'!$E:$E,0)))</f>
        <v/>
      </c>
      <c r="C630" s="298" t="str">
        <f>IF(LEN(A630)=0,"",INDEX('Smelter Reference List'!$C:$C,MATCH($A630,'Smelter Reference List'!$E:$E,0)))</f>
        <v/>
      </c>
      <c r="D630" s="292" t="str">
        <f ca="1">IF(ISERROR($S630),"",OFFSET('Smelter Reference List'!$C$4,$S630-4,0)&amp;"")</f>
        <v/>
      </c>
      <c r="E630" s="292" t="str">
        <f ca="1">IF(ISERROR($S630),"",OFFSET('Smelter Reference List'!$D$4,$S630-4,0)&amp;"")</f>
        <v/>
      </c>
      <c r="F630" s="292" t="str">
        <f ca="1">IF(ISERROR($S630),"",OFFSET('Smelter Reference List'!$E$4,$S630-4,0))</f>
        <v/>
      </c>
      <c r="G630" s="292" t="str">
        <f ca="1">IF(C630=$U$4,"Enter smelter details", IF(ISERROR($S630),"",OFFSET('Smelter Reference List'!$F$4,$S630-4,0)))</f>
        <v/>
      </c>
      <c r="H630" s="293" t="str">
        <f ca="1">IF(ISERROR($S630),"",OFFSET('Smelter Reference List'!$G$4,$S630-4,0))</f>
        <v/>
      </c>
      <c r="I630" s="294" t="str">
        <f ca="1">IF(ISERROR($S630),"",OFFSET('Smelter Reference List'!$H$4,$S630-4,0))</f>
        <v/>
      </c>
      <c r="J630" s="294" t="str">
        <f ca="1">IF(ISERROR($S630),"",OFFSET('Smelter Reference List'!$I$4,$S630-4,0))</f>
        <v/>
      </c>
      <c r="K630" s="295"/>
      <c r="L630" s="295"/>
      <c r="M630" s="295"/>
      <c r="N630" s="295"/>
      <c r="O630" s="295"/>
      <c r="P630" s="295"/>
      <c r="Q630" s="296"/>
      <c r="R630" s="227"/>
      <c r="S630" s="228" t="e">
        <f>IF(C630="",NA(),MATCH($B630&amp;$C630,'Smelter Reference List'!$J:$J,0))</f>
        <v>#N/A</v>
      </c>
      <c r="T630" s="229"/>
      <c r="U630" s="229">
        <f t="shared" ca="1" si="20"/>
        <v>0</v>
      </c>
      <c r="V630" s="229"/>
      <c r="W630" s="229"/>
      <c r="Y630" s="223" t="str">
        <f t="shared" si="21"/>
        <v/>
      </c>
    </row>
    <row r="631" spans="1:25" s="223" customFormat="1" ht="20.25">
      <c r="A631" s="291"/>
      <c r="B631" s="292" t="str">
        <f>IF(LEN(A631)=0,"",INDEX('Smelter Reference List'!$A:$A,MATCH($A631,'Smelter Reference List'!$E:$E,0)))</f>
        <v/>
      </c>
      <c r="C631" s="298" t="str">
        <f>IF(LEN(A631)=0,"",INDEX('Smelter Reference List'!$C:$C,MATCH($A631,'Smelter Reference List'!$E:$E,0)))</f>
        <v/>
      </c>
      <c r="D631" s="292" t="str">
        <f ca="1">IF(ISERROR($S631),"",OFFSET('Smelter Reference List'!$C$4,$S631-4,0)&amp;"")</f>
        <v/>
      </c>
      <c r="E631" s="292" t="str">
        <f ca="1">IF(ISERROR($S631),"",OFFSET('Smelter Reference List'!$D$4,$S631-4,0)&amp;"")</f>
        <v/>
      </c>
      <c r="F631" s="292" t="str">
        <f ca="1">IF(ISERROR($S631),"",OFFSET('Smelter Reference List'!$E$4,$S631-4,0))</f>
        <v/>
      </c>
      <c r="G631" s="292" t="str">
        <f ca="1">IF(C631=$U$4,"Enter smelter details", IF(ISERROR($S631),"",OFFSET('Smelter Reference List'!$F$4,$S631-4,0)))</f>
        <v/>
      </c>
      <c r="H631" s="293" t="str">
        <f ca="1">IF(ISERROR($S631),"",OFFSET('Smelter Reference List'!$G$4,$S631-4,0))</f>
        <v/>
      </c>
      <c r="I631" s="294" t="str">
        <f ca="1">IF(ISERROR($S631),"",OFFSET('Smelter Reference List'!$H$4,$S631-4,0))</f>
        <v/>
      </c>
      <c r="J631" s="294" t="str">
        <f ca="1">IF(ISERROR($S631),"",OFFSET('Smelter Reference List'!$I$4,$S631-4,0))</f>
        <v/>
      </c>
      <c r="K631" s="295"/>
      <c r="L631" s="295"/>
      <c r="M631" s="295"/>
      <c r="N631" s="295"/>
      <c r="O631" s="295"/>
      <c r="P631" s="295"/>
      <c r="Q631" s="296"/>
      <c r="R631" s="227"/>
      <c r="S631" s="228" t="e">
        <f>IF(C631="",NA(),MATCH($B631&amp;$C631,'Smelter Reference List'!$J:$J,0))</f>
        <v>#N/A</v>
      </c>
      <c r="T631" s="229"/>
      <c r="U631" s="229">
        <f t="shared" ca="1" si="20"/>
        <v>0</v>
      </c>
      <c r="V631" s="229"/>
      <c r="W631" s="229"/>
      <c r="Y631" s="223" t="str">
        <f t="shared" si="21"/>
        <v/>
      </c>
    </row>
    <row r="632" spans="1:25" s="223" customFormat="1" ht="20.25">
      <c r="A632" s="291"/>
      <c r="B632" s="292" t="str">
        <f>IF(LEN(A632)=0,"",INDEX('Smelter Reference List'!$A:$A,MATCH($A632,'Smelter Reference List'!$E:$E,0)))</f>
        <v/>
      </c>
      <c r="C632" s="298" t="str">
        <f>IF(LEN(A632)=0,"",INDEX('Smelter Reference List'!$C:$C,MATCH($A632,'Smelter Reference List'!$E:$E,0)))</f>
        <v/>
      </c>
      <c r="D632" s="292" t="str">
        <f ca="1">IF(ISERROR($S632),"",OFFSET('Smelter Reference List'!$C$4,$S632-4,0)&amp;"")</f>
        <v/>
      </c>
      <c r="E632" s="292" t="str">
        <f ca="1">IF(ISERROR($S632),"",OFFSET('Smelter Reference List'!$D$4,$S632-4,0)&amp;"")</f>
        <v/>
      </c>
      <c r="F632" s="292" t="str">
        <f ca="1">IF(ISERROR($S632),"",OFFSET('Smelter Reference List'!$E$4,$S632-4,0))</f>
        <v/>
      </c>
      <c r="G632" s="292" t="str">
        <f ca="1">IF(C632=$U$4,"Enter smelter details", IF(ISERROR($S632),"",OFFSET('Smelter Reference List'!$F$4,$S632-4,0)))</f>
        <v/>
      </c>
      <c r="H632" s="293" t="str">
        <f ca="1">IF(ISERROR($S632),"",OFFSET('Smelter Reference List'!$G$4,$S632-4,0))</f>
        <v/>
      </c>
      <c r="I632" s="294" t="str">
        <f ca="1">IF(ISERROR($S632),"",OFFSET('Smelter Reference List'!$H$4,$S632-4,0))</f>
        <v/>
      </c>
      <c r="J632" s="294" t="str">
        <f ca="1">IF(ISERROR($S632),"",OFFSET('Smelter Reference List'!$I$4,$S632-4,0))</f>
        <v/>
      </c>
      <c r="K632" s="295"/>
      <c r="L632" s="295"/>
      <c r="M632" s="295"/>
      <c r="N632" s="295"/>
      <c r="O632" s="295"/>
      <c r="P632" s="295"/>
      <c r="Q632" s="296"/>
      <c r="R632" s="227"/>
      <c r="S632" s="228" t="e">
        <f>IF(C632="",NA(),MATCH($B632&amp;$C632,'Smelter Reference List'!$J:$J,0))</f>
        <v>#N/A</v>
      </c>
      <c r="T632" s="229"/>
      <c r="U632" s="229">
        <f t="shared" ca="1" si="20"/>
        <v>0</v>
      </c>
      <c r="V632" s="229"/>
      <c r="W632" s="229"/>
      <c r="Y632" s="223" t="str">
        <f t="shared" si="21"/>
        <v/>
      </c>
    </row>
    <row r="633" spans="1:25" s="223" customFormat="1" ht="20.25">
      <c r="A633" s="291"/>
      <c r="B633" s="292" t="str">
        <f>IF(LEN(A633)=0,"",INDEX('Smelter Reference List'!$A:$A,MATCH($A633,'Smelter Reference List'!$E:$E,0)))</f>
        <v/>
      </c>
      <c r="C633" s="298" t="str">
        <f>IF(LEN(A633)=0,"",INDEX('Smelter Reference List'!$C:$C,MATCH($A633,'Smelter Reference List'!$E:$E,0)))</f>
        <v/>
      </c>
      <c r="D633" s="292" t="str">
        <f ca="1">IF(ISERROR($S633),"",OFFSET('Smelter Reference List'!$C$4,$S633-4,0)&amp;"")</f>
        <v/>
      </c>
      <c r="E633" s="292" t="str">
        <f ca="1">IF(ISERROR($S633),"",OFFSET('Smelter Reference List'!$D$4,$S633-4,0)&amp;"")</f>
        <v/>
      </c>
      <c r="F633" s="292" t="str">
        <f ca="1">IF(ISERROR($S633),"",OFFSET('Smelter Reference List'!$E$4,$S633-4,0))</f>
        <v/>
      </c>
      <c r="G633" s="292" t="str">
        <f ca="1">IF(C633=$U$4,"Enter smelter details", IF(ISERROR($S633),"",OFFSET('Smelter Reference List'!$F$4,$S633-4,0)))</f>
        <v/>
      </c>
      <c r="H633" s="293" t="str">
        <f ca="1">IF(ISERROR($S633),"",OFFSET('Smelter Reference List'!$G$4,$S633-4,0))</f>
        <v/>
      </c>
      <c r="I633" s="294" t="str">
        <f ca="1">IF(ISERROR($S633),"",OFFSET('Smelter Reference List'!$H$4,$S633-4,0))</f>
        <v/>
      </c>
      <c r="J633" s="294" t="str">
        <f ca="1">IF(ISERROR($S633),"",OFFSET('Smelter Reference List'!$I$4,$S633-4,0))</f>
        <v/>
      </c>
      <c r="K633" s="295"/>
      <c r="L633" s="295"/>
      <c r="M633" s="295"/>
      <c r="N633" s="295"/>
      <c r="O633" s="295"/>
      <c r="P633" s="295"/>
      <c r="Q633" s="296"/>
      <c r="R633" s="227"/>
      <c r="S633" s="228" t="e">
        <f>IF(C633="",NA(),MATCH($B633&amp;$C633,'Smelter Reference List'!$J:$J,0))</f>
        <v>#N/A</v>
      </c>
      <c r="T633" s="229"/>
      <c r="U633" s="229">
        <f t="shared" ca="1" si="20"/>
        <v>0</v>
      </c>
      <c r="V633" s="229"/>
      <c r="W633" s="229"/>
      <c r="Y633" s="223" t="str">
        <f t="shared" si="21"/>
        <v/>
      </c>
    </row>
    <row r="634" spans="1:25" s="223" customFormat="1" ht="20.25">
      <c r="A634" s="291"/>
      <c r="B634" s="292" t="str">
        <f>IF(LEN(A634)=0,"",INDEX('Smelter Reference List'!$A:$A,MATCH($A634,'Smelter Reference List'!$E:$E,0)))</f>
        <v/>
      </c>
      <c r="C634" s="298" t="str">
        <f>IF(LEN(A634)=0,"",INDEX('Smelter Reference List'!$C:$C,MATCH($A634,'Smelter Reference List'!$E:$E,0)))</f>
        <v/>
      </c>
      <c r="D634" s="292" t="str">
        <f ca="1">IF(ISERROR($S634),"",OFFSET('Smelter Reference List'!$C$4,$S634-4,0)&amp;"")</f>
        <v/>
      </c>
      <c r="E634" s="292" t="str">
        <f ca="1">IF(ISERROR($S634),"",OFFSET('Smelter Reference List'!$D$4,$S634-4,0)&amp;"")</f>
        <v/>
      </c>
      <c r="F634" s="292" t="str">
        <f ca="1">IF(ISERROR($S634),"",OFFSET('Smelter Reference List'!$E$4,$S634-4,0))</f>
        <v/>
      </c>
      <c r="G634" s="292" t="str">
        <f ca="1">IF(C634=$U$4,"Enter smelter details", IF(ISERROR($S634),"",OFFSET('Smelter Reference List'!$F$4,$S634-4,0)))</f>
        <v/>
      </c>
      <c r="H634" s="293" t="str">
        <f ca="1">IF(ISERROR($S634),"",OFFSET('Smelter Reference List'!$G$4,$S634-4,0))</f>
        <v/>
      </c>
      <c r="I634" s="294" t="str">
        <f ca="1">IF(ISERROR($S634),"",OFFSET('Smelter Reference List'!$H$4,$S634-4,0))</f>
        <v/>
      </c>
      <c r="J634" s="294" t="str">
        <f ca="1">IF(ISERROR($S634),"",OFFSET('Smelter Reference List'!$I$4,$S634-4,0))</f>
        <v/>
      </c>
      <c r="K634" s="295"/>
      <c r="L634" s="295"/>
      <c r="M634" s="295"/>
      <c r="N634" s="295"/>
      <c r="O634" s="295"/>
      <c r="P634" s="295"/>
      <c r="Q634" s="296"/>
      <c r="R634" s="227"/>
      <c r="S634" s="228" t="e">
        <f>IF(C634="",NA(),MATCH($B634&amp;$C634,'Smelter Reference List'!$J:$J,0))</f>
        <v>#N/A</v>
      </c>
      <c r="T634" s="229"/>
      <c r="U634" s="229">
        <f t="shared" ca="1" si="20"/>
        <v>0</v>
      </c>
      <c r="V634" s="229"/>
      <c r="W634" s="229"/>
      <c r="Y634" s="223" t="str">
        <f t="shared" si="21"/>
        <v/>
      </c>
    </row>
    <row r="635" spans="1:25" s="223" customFormat="1" ht="20.25">
      <c r="A635" s="291"/>
      <c r="B635" s="292" t="str">
        <f>IF(LEN(A635)=0,"",INDEX('Smelter Reference List'!$A:$A,MATCH($A635,'Smelter Reference List'!$E:$E,0)))</f>
        <v/>
      </c>
      <c r="C635" s="298" t="str">
        <f>IF(LEN(A635)=0,"",INDEX('Smelter Reference List'!$C:$C,MATCH($A635,'Smelter Reference List'!$E:$E,0)))</f>
        <v/>
      </c>
      <c r="D635" s="292" t="str">
        <f ca="1">IF(ISERROR($S635),"",OFFSET('Smelter Reference List'!$C$4,$S635-4,0)&amp;"")</f>
        <v/>
      </c>
      <c r="E635" s="292" t="str">
        <f ca="1">IF(ISERROR($S635),"",OFFSET('Smelter Reference List'!$D$4,$S635-4,0)&amp;"")</f>
        <v/>
      </c>
      <c r="F635" s="292" t="str">
        <f ca="1">IF(ISERROR($S635),"",OFFSET('Smelter Reference List'!$E$4,$S635-4,0))</f>
        <v/>
      </c>
      <c r="G635" s="292" t="str">
        <f ca="1">IF(C635=$U$4,"Enter smelter details", IF(ISERROR($S635),"",OFFSET('Smelter Reference List'!$F$4,$S635-4,0)))</f>
        <v/>
      </c>
      <c r="H635" s="293" t="str">
        <f ca="1">IF(ISERROR($S635),"",OFFSET('Smelter Reference List'!$G$4,$S635-4,0))</f>
        <v/>
      </c>
      <c r="I635" s="294" t="str">
        <f ca="1">IF(ISERROR($S635),"",OFFSET('Smelter Reference List'!$H$4,$S635-4,0))</f>
        <v/>
      </c>
      <c r="J635" s="294" t="str">
        <f ca="1">IF(ISERROR($S635),"",OFFSET('Smelter Reference List'!$I$4,$S635-4,0))</f>
        <v/>
      </c>
      <c r="K635" s="295"/>
      <c r="L635" s="295"/>
      <c r="M635" s="295"/>
      <c r="N635" s="295"/>
      <c r="O635" s="295"/>
      <c r="P635" s="295"/>
      <c r="Q635" s="296"/>
      <c r="R635" s="227"/>
      <c r="S635" s="228" t="e">
        <f>IF(C635="",NA(),MATCH($B635&amp;$C635,'Smelter Reference List'!$J:$J,0))</f>
        <v>#N/A</v>
      </c>
      <c r="T635" s="229"/>
      <c r="U635" s="229">
        <f t="shared" ca="1" si="20"/>
        <v>0</v>
      </c>
      <c r="V635" s="229"/>
      <c r="W635" s="229"/>
      <c r="Y635" s="223" t="str">
        <f t="shared" si="21"/>
        <v/>
      </c>
    </row>
    <row r="636" spans="1:25" s="223" customFormat="1" ht="20.25">
      <c r="A636" s="291"/>
      <c r="B636" s="292" t="str">
        <f>IF(LEN(A636)=0,"",INDEX('Smelter Reference List'!$A:$A,MATCH($A636,'Smelter Reference List'!$E:$E,0)))</f>
        <v/>
      </c>
      <c r="C636" s="298" t="str">
        <f>IF(LEN(A636)=0,"",INDEX('Smelter Reference List'!$C:$C,MATCH($A636,'Smelter Reference List'!$E:$E,0)))</f>
        <v/>
      </c>
      <c r="D636" s="292" t="str">
        <f ca="1">IF(ISERROR($S636),"",OFFSET('Smelter Reference List'!$C$4,$S636-4,0)&amp;"")</f>
        <v/>
      </c>
      <c r="E636" s="292" t="str">
        <f ca="1">IF(ISERROR($S636),"",OFFSET('Smelter Reference List'!$D$4,$S636-4,0)&amp;"")</f>
        <v/>
      </c>
      <c r="F636" s="292" t="str">
        <f ca="1">IF(ISERROR($S636),"",OFFSET('Smelter Reference List'!$E$4,$S636-4,0))</f>
        <v/>
      </c>
      <c r="G636" s="292" t="str">
        <f ca="1">IF(C636=$U$4,"Enter smelter details", IF(ISERROR($S636),"",OFFSET('Smelter Reference List'!$F$4,$S636-4,0)))</f>
        <v/>
      </c>
      <c r="H636" s="293" t="str">
        <f ca="1">IF(ISERROR($S636),"",OFFSET('Smelter Reference List'!$G$4,$S636-4,0))</f>
        <v/>
      </c>
      <c r="I636" s="294" t="str">
        <f ca="1">IF(ISERROR($S636),"",OFFSET('Smelter Reference List'!$H$4,$S636-4,0))</f>
        <v/>
      </c>
      <c r="J636" s="294" t="str">
        <f ca="1">IF(ISERROR($S636),"",OFFSET('Smelter Reference List'!$I$4,$S636-4,0))</f>
        <v/>
      </c>
      <c r="K636" s="295"/>
      <c r="L636" s="295"/>
      <c r="M636" s="295"/>
      <c r="N636" s="295"/>
      <c r="O636" s="295"/>
      <c r="P636" s="295"/>
      <c r="Q636" s="296"/>
      <c r="R636" s="227"/>
      <c r="S636" s="228" t="e">
        <f>IF(C636="",NA(),MATCH($B636&amp;$C636,'Smelter Reference List'!$J:$J,0))</f>
        <v>#N/A</v>
      </c>
      <c r="T636" s="229"/>
      <c r="U636" s="229">
        <f t="shared" ca="1" si="20"/>
        <v>0</v>
      </c>
      <c r="V636" s="229"/>
      <c r="W636" s="229"/>
      <c r="Y636" s="223" t="str">
        <f t="shared" si="21"/>
        <v/>
      </c>
    </row>
    <row r="637" spans="1:25" s="223" customFormat="1" ht="20.25">
      <c r="A637" s="291"/>
      <c r="B637" s="292" t="str">
        <f>IF(LEN(A637)=0,"",INDEX('Smelter Reference List'!$A:$A,MATCH($A637,'Smelter Reference List'!$E:$E,0)))</f>
        <v/>
      </c>
      <c r="C637" s="298" t="str">
        <f>IF(LEN(A637)=0,"",INDEX('Smelter Reference List'!$C:$C,MATCH($A637,'Smelter Reference List'!$E:$E,0)))</f>
        <v/>
      </c>
      <c r="D637" s="292" t="str">
        <f ca="1">IF(ISERROR($S637),"",OFFSET('Smelter Reference List'!$C$4,$S637-4,0)&amp;"")</f>
        <v/>
      </c>
      <c r="E637" s="292" t="str">
        <f ca="1">IF(ISERROR($S637),"",OFFSET('Smelter Reference List'!$D$4,$S637-4,0)&amp;"")</f>
        <v/>
      </c>
      <c r="F637" s="292" t="str">
        <f ca="1">IF(ISERROR($S637),"",OFFSET('Smelter Reference List'!$E$4,$S637-4,0))</f>
        <v/>
      </c>
      <c r="G637" s="292" t="str">
        <f ca="1">IF(C637=$U$4,"Enter smelter details", IF(ISERROR($S637),"",OFFSET('Smelter Reference List'!$F$4,$S637-4,0)))</f>
        <v/>
      </c>
      <c r="H637" s="293" t="str">
        <f ca="1">IF(ISERROR($S637),"",OFFSET('Smelter Reference List'!$G$4,$S637-4,0))</f>
        <v/>
      </c>
      <c r="I637" s="294" t="str">
        <f ca="1">IF(ISERROR($S637),"",OFFSET('Smelter Reference List'!$H$4,$S637-4,0))</f>
        <v/>
      </c>
      <c r="J637" s="294" t="str">
        <f ca="1">IF(ISERROR($S637),"",OFFSET('Smelter Reference List'!$I$4,$S637-4,0))</f>
        <v/>
      </c>
      <c r="K637" s="295"/>
      <c r="L637" s="295"/>
      <c r="M637" s="295"/>
      <c r="N637" s="295"/>
      <c r="O637" s="295"/>
      <c r="P637" s="295"/>
      <c r="Q637" s="296"/>
      <c r="R637" s="227"/>
      <c r="S637" s="228" t="e">
        <f>IF(C637="",NA(),MATCH($B637&amp;$C637,'Smelter Reference List'!$J:$J,0))</f>
        <v>#N/A</v>
      </c>
      <c r="T637" s="229"/>
      <c r="U637" s="229">
        <f t="shared" ca="1" si="20"/>
        <v>0</v>
      </c>
      <c r="V637" s="229"/>
      <c r="W637" s="229"/>
      <c r="Y637" s="223" t="str">
        <f t="shared" si="21"/>
        <v/>
      </c>
    </row>
    <row r="638" spans="1:25" s="223" customFormat="1" ht="20.25">
      <c r="A638" s="291"/>
      <c r="B638" s="292" t="str">
        <f>IF(LEN(A638)=0,"",INDEX('Smelter Reference List'!$A:$A,MATCH($A638,'Smelter Reference List'!$E:$E,0)))</f>
        <v/>
      </c>
      <c r="C638" s="298" t="str">
        <f>IF(LEN(A638)=0,"",INDEX('Smelter Reference List'!$C:$C,MATCH($A638,'Smelter Reference List'!$E:$E,0)))</f>
        <v/>
      </c>
      <c r="D638" s="292" t="str">
        <f ca="1">IF(ISERROR($S638),"",OFFSET('Smelter Reference List'!$C$4,$S638-4,0)&amp;"")</f>
        <v/>
      </c>
      <c r="E638" s="292" t="str">
        <f ca="1">IF(ISERROR($S638),"",OFFSET('Smelter Reference List'!$D$4,$S638-4,0)&amp;"")</f>
        <v/>
      </c>
      <c r="F638" s="292" t="str">
        <f ca="1">IF(ISERROR($S638),"",OFFSET('Smelter Reference List'!$E$4,$S638-4,0))</f>
        <v/>
      </c>
      <c r="G638" s="292" t="str">
        <f ca="1">IF(C638=$U$4,"Enter smelter details", IF(ISERROR($S638),"",OFFSET('Smelter Reference List'!$F$4,$S638-4,0)))</f>
        <v/>
      </c>
      <c r="H638" s="293" t="str">
        <f ca="1">IF(ISERROR($S638),"",OFFSET('Smelter Reference List'!$G$4,$S638-4,0))</f>
        <v/>
      </c>
      <c r="I638" s="294" t="str">
        <f ca="1">IF(ISERROR($S638),"",OFFSET('Smelter Reference List'!$H$4,$S638-4,0))</f>
        <v/>
      </c>
      <c r="J638" s="294" t="str">
        <f ca="1">IF(ISERROR($S638),"",OFFSET('Smelter Reference List'!$I$4,$S638-4,0))</f>
        <v/>
      </c>
      <c r="K638" s="295"/>
      <c r="L638" s="295"/>
      <c r="M638" s="295"/>
      <c r="N638" s="295"/>
      <c r="O638" s="295"/>
      <c r="P638" s="295"/>
      <c r="Q638" s="296"/>
      <c r="R638" s="227"/>
      <c r="S638" s="228" t="e">
        <f>IF(C638="",NA(),MATCH($B638&amp;$C638,'Smelter Reference List'!$J:$J,0))</f>
        <v>#N/A</v>
      </c>
      <c r="T638" s="229"/>
      <c r="U638" s="229">
        <f t="shared" ca="1" si="20"/>
        <v>0</v>
      </c>
      <c r="V638" s="229"/>
      <c r="W638" s="229"/>
      <c r="Y638" s="223" t="str">
        <f t="shared" si="21"/>
        <v/>
      </c>
    </row>
    <row r="639" spans="1:25" s="223" customFormat="1" ht="20.25">
      <c r="A639" s="291"/>
      <c r="B639" s="292" t="str">
        <f>IF(LEN(A639)=0,"",INDEX('Smelter Reference List'!$A:$A,MATCH($A639,'Smelter Reference List'!$E:$E,0)))</f>
        <v/>
      </c>
      <c r="C639" s="298" t="str">
        <f>IF(LEN(A639)=0,"",INDEX('Smelter Reference List'!$C:$C,MATCH($A639,'Smelter Reference List'!$E:$E,0)))</f>
        <v/>
      </c>
      <c r="D639" s="292" t="str">
        <f ca="1">IF(ISERROR($S639),"",OFFSET('Smelter Reference List'!$C$4,$S639-4,0)&amp;"")</f>
        <v/>
      </c>
      <c r="E639" s="292" t="str">
        <f ca="1">IF(ISERROR($S639),"",OFFSET('Smelter Reference List'!$D$4,$S639-4,0)&amp;"")</f>
        <v/>
      </c>
      <c r="F639" s="292" t="str">
        <f ca="1">IF(ISERROR($S639),"",OFFSET('Smelter Reference List'!$E$4,$S639-4,0))</f>
        <v/>
      </c>
      <c r="G639" s="292" t="str">
        <f ca="1">IF(C639=$U$4,"Enter smelter details", IF(ISERROR($S639),"",OFFSET('Smelter Reference List'!$F$4,$S639-4,0)))</f>
        <v/>
      </c>
      <c r="H639" s="293" t="str">
        <f ca="1">IF(ISERROR($S639),"",OFFSET('Smelter Reference List'!$G$4,$S639-4,0))</f>
        <v/>
      </c>
      <c r="I639" s="294" t="str">
        <f ca="1">IF(ISERROR($S639),"",OFFSET('Smelter Reference List'!$H$4,$S639-4,0))</f>
        <v/>
      </c>
      <c r="J639" s="294" t="str">
        <f ca="1">IF(ISERROR($S639),"",OFFSET('Smelter Reference List'!$I$4,$S639-4,0))</f>
        <v/>
      </c>
      <c r="K639" s="295"/>
      <c r="L639" s="295"/>
      <c r="M639" s="295"/>
      <c r="N639" s="295"/>
      <c r="O639" s="295"/>
      <c r="P639" s="295"/>
      <c r="Q639" s="296"/>
      <c r="R639" s="227"/>
      <c r="S639" s="228" t="e">
        <f>IF(C639="",NA(),MATCH($B639&amp;$C639,'Smelter Reference List'!$J:$J,0))</f>
        <v>#N/A</v>
      </c>
      <c r="T639" s="229"/>
      <c r="U639" s="229">
        <f t="shared" ca="1" si="20"/>
        <v>0</v>
      </c>
      <c r="V639" s="229"/>
      <c r="W639" s="229"/>
      <c r="Y639" s="223" t="str">
        <f t="shared" si="21"/>
        <v/>
      </c>
    </row>
    <row r="640" spans="1:25" s="223" customFormat="1" ht="20.25">
      <c r="A640" s="291"/>
      <c r="B640" s="292" t="str">
        <f>IF(LEN(A640)=0,"",INDEX('Smelter Reference List'!$A:$A,MATCH($A640,'Smelter Reference List'!$E:$E,0)))</f>
        <v/>
      </c>
      <c r="C640" s="298" t="str">
        <f>IF(LEN(A640)=0,"",INDEX('Smelter Reference List'!$C:$C,MATCH($A640,'Smelter Reference List'!$E:$E,0)))</f>
        <v/>
      </c>
      <c r="D640" s="292" t="str">
        <f ca="1">IF(ISERROR($S640),"",OFFSET('Smelter Reference List'!$C$4,$S640-4,0)&amp;"")</f>
        <v/>
      </c>
      <c r="E640" s="292" t="str">
        <f ca="1">IF(ISERROR($S640),"",OFFSET('Smelter Reference List'!$D$4,$S640-4,0)&amp;"")</f>
        <v/>
      </c>
      <c r="F640" s="292" t="str">
        <f ca="1">IF(ISERROR($S640),"",OFFSET('Smelter Reference List'!$E$4,$S640-4,0))</f>
        <v/>
      </c>
      <c r="G640" s="292" t="str">
        <f ca="1">IF(C640=$U$4,"Enter smelter details", IF(ISERROR($S640),"",OFFSET('Smelter Reference List'!$F$4,$S640-4,0)))</f>
        <v/>
      </c>
      <c r="H640" s="293" t="str">
        <f ca="1">IF(ISERROR($S640),"",OFFSET('Smelter Reference List'!$G$4,$S640-4,0))</f>
        <v/>
      </c>
      <c r="I640" s="294" t="str">
        <f ca="1">IF(ISERROR($S640),"",OFFSET('Smelter Reference List'!$H$4,$S640-4,0))</f>
        <v/>
      </c>
      <c r="J640" s="294" t="str">
        <f ca="1">IF(ISERROR($S640),"",OFFSET('Smelter Reference List'!$I$4,$S640-4,0))</f>
        <v/>
      </c>
      <c r="K640" s="295"/>
      <c r="L640" s="295"/>
      <c r="M640" s="295"/>
      <c r="N640" s="295"/>
      <c r="O640" s="295"/>
      <c r="P640" s="295"/>
      <c r="Q640" s="296"/>
      <c r="R640" s="227"/>
      <c r="S640" s="228" t="e">
        <f>IF(C640="",NA(),MATCH($B640&amp;$C640,'Smelter Reference List'!$J:$J,0))</f>
        <v>#N/A</v>
      </c>
      <c r="T640" s="229"/>
      <c r="U640" s="229">
        <f t="shared" ca="1" si="20"/>
        <v>0</v>
      </c>
      <c r="V640" s="229"/>
      <c r="W640" s="229"/>
      <c r="Y640" s="223" t="str">
        <f t="shared" si="21"/>
        <v/>
      </c>
    </row>
    <row r="641" spans="1:25" s="223" customFormat="1" ht="20.25">
      <c r="A641" s="291"/>
      <c r="B641" s="292" t="str">
        <f>IF(LEN(A641)=0,"",INDEX('Smelter Reference List'!$A:$A,MATCH($A641,'Smelter Reference List'!$E:$E,0)))</f>
        <v/>
      </c>
      <c r="C641" s="298" t="str">
        <f>IF(LEN(A641)=0,"",INDEX('Smelter Reference List'!$C:$C,MATCH($A641,'Smelter Reference List'!$E:$E,0)))</f>
        <v/>
      </c>
      <c r="D641" s="292" t="str">
        <f ca="1">IF(ISERROR($S641),"",OFFSET('Smelter Reference List'!$C$4,$S641-4,0)&amp;"")</f>
        <v/>
      </c>
      <c r="E641" s="292" t="str">
        <f ca="1">IF(ISERROR($S641),"",OFFSET('Smelter Reference List'!$D$4,$S641-4,0)&amp;"")</f>
        <v/>
      </c>
      <c r="F641" s="292" t="str">
        <f ca="1">IF(ISERROR($S641),"",OFFSET('Smelter Reference List'!$E$4,$S641-4,0))</f>
        <v/>
      </c>
      <c r="G641" s="292" t="str">
        <f ca="1">IF(C641=$U$4,"Enter smelter details", IF(ISERROR($S641),"",OFFSET('Smelter Reference List'!$F$4,$S641-4,0)))</f>
        <v/>
      </c>
      <c r="H641" s="293" t="str">
        <f ca="1">IF(ISERROR($S641),"",OFFSET('Smelter Reference List'!$G$4,$S641-4,0))</f>
        <v/>
      </c>
      <c r="I641" s="294" t="str">
        <f ca="1">IF(ISERROR($S641),"",OFFSET('Smelter Reference List'!$H$4,$S641-4,0))</f>
        <v/>
      </c>
      <c r="J641" s="294" t="str">
        <f ca="1">IF(ISERROR($S641),"",OFFSET('Smelter Reference List'!$I$4,$S641-4,0))</f>
        <v/>
      </c>
      <c r="K641" s="295"/>
      <c r="L641" s="295"/>
      <c r="M641" s="295"/>
      <c r="N641" s="295"/>
      <c r="O641" s="295"/>
      <c r="P641" s="295"/>
      <c r="Q641" s="296"/>
      <c r="R641" s="227"/>
      <c r="S641" s="228" t="e">
        <f>IF(C641="",NA(),MATCH($B641&amp;$C641,'Smelter Reference List'!$J:$J,0))</f>
        <v>#N/A</v>
      </c>
      <c r="T641" s="229"/>
      <c r="U641" s="229">
        <f t="shared" ca="1" si="20"/>
        <v>0</v>
      </c>
      <c r="V641" s="229"/>
      <c r="W641" s="229"/>
      <c r="Y641" s="223" t="str">
        <f t="shared" si="21"/>
        <v/>
      </c>
    </row>
    <row r="642" spans="1:25" s="223" customFormat="1" ht="20.25">
      <c r="A642" s="291"/>
      <c r="B642" s="292" t="str">
        <f>IF(LEN(A642)=0,"",INDEX('Smelter Reference List'!$A:$A,MATCH($A642,'Smelter Reference List'!$E:$E,0)))</f>
        <v/>
      </c>
      <c r="C642" s="298" t="str">
        <f>IF(LEN(A642)=0,"",INDEX('Smelter Reference List'!$C:$C,MATCH($A642,'Smelter Reference List'!$E:$E,0)))</f>
        <v/>
      </c>
      <c r="D642" s="292" t="str">
        <f ca="1">IF(ISERROR($S642),"",OFFSET('Smelter Reference List'!$C$4,$S642-4,0)&amp;"")</f>
        <v/>
      </c>
      <c r="E642" s="292" t="str">
        <f ca="1">IF(ISERROR($S642),"",OFFSET('Smelter Reference List'!$D$4,$S642-4,0)&amp;"")</f>
        <v/>
      </c>
      <c r="F642" s="292" t="str">
        <f ca="1">IF(ISERROR($S642),"",OFFSET('Smelter Reference List'!$E$4,$S642-4,0))</f>
        <v/>
      </c>
      <c r="G642" s="292" t="str">
        <f ca="1">IF(C642=$U$4,"Enter smelter details", IF(ISERROR($S642),"",OFFSET('Smelter Reference List'!$F$4,$S642-4,0)))</f>
        <v/>
      </c>
      <c r="H642" s="293" t="str">
        <f ca="1">IF(ISERROR($S642),"",OFFSET('Smelter Reference List'!$G$4,$S642-4,0))</f>
        <v/>
      </c>
      <c r="I642" s="294" t="str">
        <f ca="1">IF(ISERROR($S642),"",OFFSET('Smelter Reference List'!$H$4,$S642-4,0))</f>
        <v/>
      </c>
      <c r="J642" s="294" t="str">
        <f ca="1">IF(ISERROR($S642),"",OFFSET('Smelter Reference List'!$I$4,$S642-4,0))</f>
        <v/>
      </c>
      <c r="K642" s="295"/>
      <c r="L642" s="295"/>
      <c r="M642" s="295"/>
      <c r="N642" s="295"/>
      <c r="O642" s="295"/>
      <c r="P642" s="295"/>
      <c r="Q642" s="296"/>
      <c r="R642" s="227"/>
      <c r="S642" s="228" t="e">
        <f>IF(C642="",NA(),MATCH($B642&amp;$C642,'Smelter Reference List'!$J:$J,0))</f>
        <v>#N/A</v>
      </c>
      <c r="T642" s="229"/>
      <c r="U642" s="229">
        <f t="shared" ca="1" si="20"/>
        <v>0</v>
      </c>
      <c r="V642" s="229"/>
      <c r="W642" s="229"/>
      <c r="Y642" s="223" t="str">
        <f t="shared" si="21"/>
        <v/>
      </c>
    </row>
    <row r="643" spans="1:25" s="223" customFormat="1" ht="20.25">
      <c r="A643" s="291"/>
      <c r="B643" s="292" t="str">
        <f>IF(LEN(A643)=0,"",INDEX('Smelter Reference List'!$A:$A,MATCH($A643,'Smelter Reference List'!$E:$E,0)))</f>
        <v/>
      </c>
      <c r="C643" s="298" t="str">
        <f>IF(LEN(A643)=0,"",INDEX('Smelter Reference List'!$C:$C,MATCH($A643,'Smelter Reference List'!$E:$E,0)))</f>
        <v/>
      </c>
      <c r="D643" s="292" t="str">
        <f ca="1">IF(ISERROR($S643),"",OFFSET('Smelter Reference List'!$C$4,$S643-4,0)&amp;"")</f>
        <v/>
      </c>
      <c r="E643" s="292" t="str">
        <f ca="1">IF(ISERROR($S643),"",OFFSET('Smelter Reference List'!$D$4,$S643-4,0)&amp;"")</f>
        <v/>
      </c>
      <c r="F643" s="292" t="str">
        <f ca="1">IF(ISERROR($S643),"",OFFSET('Smelter Reference List'!$E$4,$S643-4,0))</f>
        <v/>
      </c>
      <c r="G643" s="292" t="str">
        <f ca="1">IF(C643=$U$4,"Enter smelter details", IF(ISERROR($S643),"",OFFSET('Smelter Reference List'!$F$4,$S643-4,0)))</f>
        <v/>
      </c>
      <c r="H643" s="293" t="str">
        <f ca="1">IF(ISERROR($S643),"",OFFSET('Smelter Reference List'!$G$4,$S643-4,0))</f>
        <v/>
      </c>
      <c r="I643" s="294" t="str">
        <f ca="1">IF(ISERROR($S643),"",OFFSET('Smelter Reference List'!$H$4,$S643-4,0))</f>
        <v/>
      </c>
      <c r="J643" s="294" t="str">
        <f ca="1">IF(ISERROR($S643),"",OFFSET('Smelter Reference List'!$I$4,$S643-4,0))</f>
        <v/>
      </c>
      <c r="K643" s="295"/>
      <c r="L643" s="295"/>
      <c r="M643" s="295"/>
      <c r="N643" s="295"/>
      <c r="O643" s="295"/>
      <c r="P643" s="295"/>
      <c r="Q643" s="296"/>
      <c r="R643" s="227"/>
      <c r="S643" s="228" t="e">
        <f>IF(C643="",NA(),MATCH($B643&amp;$C643,'Smelter Reference List'!$J:$J,0))</f>
        <v>#N/A</v>
      </c>
      <c r="T643" s="229"/>
      <c r="U643" s="229">
        <f t="shared" ca="1" si="20"/>
        <v>0</v>
      </c>
      <c r="V643" s="229"/>
      <c r="W643" s="229"/>
      <c r="Y643" s="223" t="str">
        <f t="shared" si="21"/>
        <v/>
      </c>
    </row>
    <row r="644" spans="1:25" s="223" customFormat="1" ht="20.25">
      <c r="A644" s="291"/>
      <c r="B644" s="292" t="str">
        <f>IF(LEN(A644)=0,"",INDEX('Smelter Reference List'!$A:$A,MATCH($A644,'Smelter Reference List'!$E:$E,0)))</f>
        <v/>
      </c>
      <c r="C644" s="298" t="str">
        <f>IF(LEN(A644)=0,"",INDEX('Smelter Reference List'!$C:$C,MATCH($A644,'Smelter Reference List'!$E:$E,0)))</f>
        <v/>
      </c>
      <c r="D644" s="292" t="str">
        <f ca="1">IF(ISERROR($S644),"",OFFSET('Smelter Reference List'!$C$4,$S644-4,0)&amp;"")</f>
        <v/>
      </c>
      <c r="E644" s="292" t="str">
        <f ca="1">IF(ISERROR($S644),"",OFFSET('Smelter Reference List'!$D$4,$S644-4,0)&amp;"")</f>
        <v/>
      </c>
      <c r="F644" s="292" t="str">
        <f ca="1">IF(ISERROR($S644),"",OFFSET('Smelter Reference List'!$E$4,$S644-4,0))</f>
        <v/>
      </c>
      <c r="G644" s="292" t="str">
        <f ca="1">IF(C644=$U$4,"Enter smelter details", IF(ISERROR($S644),"",OFFSET('Smelter Reference List'!$F$4,$S644-4,0)))</f>
        <v/>
      </c>
      <c r="H644" s="293" t="str">
        <f ca="1">IF(ISERROR($S644),"",OFFSET('Smelter Reference List'!$G$4,$S644-4,0))</f>
        <v/>
      </c>
      <c r="I644" s="294" t="str">
        <f ca="1">IF(ISERROR($S644),"",OFFSET('Smelter Reference List'!$H$4,$S644-4,0))</f>
        <v/>
      </c>
      <c r="J644" s="294" t="str">
        <f ca="1">IF(ISERROR($S644),"",OFFSET('Smelter Reference List'!$I$4,$S644-4,0))</f>
        <v/>
      </c>
      <c r="K644" s="295"/>
      <c r="L644" s="295"/>
      <c r="M644" s="295"/>
      <c r="N644" s="295"/>
      <c r="O644" s="295"/>
      <c r="P644" s="295"/>
      <c r="Q644" s="296"/>
      <c r="R644" s="227"/>
      <c r="S644" s="228" t="e">
        <f>IF(C644="",NA(),MATCH($B644&amp;$C644,'Smelter Reference List'!$J:$J,0))</f>
        <v>#N/A</v>
      </c>
      <c r="T644" s="229"/>
      <c r="U644" s="229">
        <f t="shared" ca="1" si="20"/>
        <v>0</v>
      </c>
      <c r="V644" s="229"/>
      <c r="W644" s="229"/>
      <c r="Y644" s="223" t="str">
        <f t="shared" si="21"/>
        <v/>
      </c>
    </row>
    <row r="645" spans="1:25" s="223" customFormat="1" ht="20.25">
      <c r="A645" s="291"/>
      <c r="B645" s="292" t="str">
        <f>IF(LEN(A645)=0,"",INDEX('Smelter Reference List'!$A:$A,MATCH($A645,'Smelter Reference List'!$E:$E,0)))</f>
        <v/>
      </c>
      <c r="C645" s="298" t="str">
        <f>IF(LEN(A645)=0,"",INDEX('Smelter Reference List'!$C:$C,MATCH($A645,'Smelter Reference List'!$E:$E,0)))</f>
        <v/>
      </c>
      <c r="D645" s="292" t="str">
        <f ca="1">IF(ISERROR($S645),"",OFFSET('Smelter Reference List'!$C$4,$S645-4,0)&amp;"")</f>
        <v/>
      </c>
      <c r="E645" s="292" t="str">
        <f ca="1">IF(ISERROR($S645),"",OFFSET('Smelter Reference List'!$D$4,$S645-4,0)&amp;"")</f>
        <v/>
      </c>
      <c r="F645" s="292" t="str">
        <f ca="1">IF(ISERROR($S645),"",OFFSET('Smelter Reference List'!$E$4,$S645-4,0))</f>
        <v/>
      </c>
      <c r="G645" s="292" t="str">
        <f ca="1">IF(C645=$U$4,"Enter smelter details", IF(ISERROR($S645),"",OFFSET('Smelter Reference List'!$F$4,$S645-4,0)))</f>
        <v/>
      </c>
      <c r="H645" s="293" t="str">
        <f ca="1">IF(ISERROR($S645),"",OFFSET('Smelter Reference List'!$G$4,$S645-4,0))</f>
        <v/>
      </c>
      <c r="I645" s="294" t="str">
        <f ca="1">IF(ISERROR($S645),"",OFFSET('Smelter Reference List'!$H$4,$S645-4,0))</f>
        <v/>
      </c>
      <c r="J645" s="294" t="str">
        <f ca="1">IF(ISERROR($S645),"",OFFSET('Smelter Reference List'!$I$4,$S645-4,0))</f>
        <v/>
      </c>
      <c r="K645" s="295"/>
      <c r="L645" s="295"/>
      <c r="M645" s="295"/>
      <c r="N645" s="295"/>
      <c r="O645" s="295"/>
      <c r="P645" s="295"/>
      <c r="Q645" s="296"/>
      <c r="R645" s="227"/>
      <c r="S645" s="228" t="e">
        <f>IF(C645="",NA(),MATCH($B645&amp;$C645,'Smelter Reference List'!$J:$J,0))</f>
        <v>#N/A</v>
      </c>
      <c r="T645" s="229"/>
      <c r="U645" s="229">
        <f t="shared" ref="U645:U708" ca="1" si="22">IF(AND(C645="Smelter not listed",OR(LEN(D645)=0,LEN(E645)=0)),1,0)</f>
        <v>0</v>
      </c>
      <c r="V645" s="229"/>
      <c r="W645" s="229"/>
      <c r="Y645" s="223" t="str">
        <f t="shared" ref="Y645:Y708" si="23">B645&amp;C645</f>
        <v/>
      </c>
    </row>
    <row r="646" spans="1:25" s="223" customFormat="1" ht="20.25">
      <c r="A646" s="291"/>
      <c r="B646" s="292" t="str">
        <f>IF(LEN(A646)=0,"",INDEX('Smelter Reference List'!$A:$A,MATCH($A646,'Smelter Reference List'!$E:$E,0)))</f>
        <v/>
      </c>
      <c r="C646" s="298" t="str">
        <f>IF(LEN(A646)=0,"",INDEX('Smelter Reference List'!$C:$C,MATCH($A646,'Smelter Reference List'!$E:$E,0)))</f>
        <v/>
      </c>
      <c r="D646" s="292" t="str">
        <f ca="1">IF(ISERROR($S646),"",OFFSET('Smelter Reference List'!$C$4,$S646-4,0)&amp;"")</f>
        <v/>
      </c>
      <c r="E646" s="292" t="str">
        <f ca="1">IF(ISERROR($S646),"",OFFSET('Smelter Reference List'!$D$4,$S646-4,0)&amp;"")</f>
        <v/>
      </c>
      <c r="F646" s="292" t="str">
        <f ca="1">IF(ISERROR($S646),"",OFFSET('Smelter Reference List'!$E$4,$S646-4,0))</f>
        <v/>
      </c>
      <c r="G646" s="292" t="str">
        <f ca="1">IF(C646=$U$4,"Enter smelter details", IF(ISERROR($S646),"",OFFSET('Smelter Reference List'!$F$4,$S646-4,0)))</f>
        <v/>
      </c>
      <c r="H646" s="293" t="str">
        <f ca="1">IF(ISERROR($S646),"",OFFSET('Smelter Reference List'!$G$4,$S646-4,0))</f>
        <v/>
      </c>
      <c r="I646" s="294" t="str">
        <f ca="1">IF(ISERROR($S646),"",OFFSET('Smelter Reference List'!$H$4,$S646-4,0))</f>
        <v/>
      </c>
      <c r="J646" s="294" t="str">
        <f ca="1">IF(ISERROR($S646),"",OFFSET('Smelter Reference List'!$I$4,$S646-4,0))</f>
        <v/>
      </c>
      <c r="K646" s="295"/>
      <c r="L646" s="295"/>
      <c r="M646" s="295"/>
      <c r="N646" s="295"/>
      <c r="O646" s="295"/>
      <c r="P646" s="295"/>
      <c r="Q646" s="296"/>
      <c r="R646" s="227"/>
      <c r="S646" s="228" t="e">
        <f>IF(C646="",NA(),MATCH($B646&amp;$C646,'Smelter Reference List'!$J:$J,0))</f>
        <v>#N/A</v>
      </c>
      <c r="T646" s="229"/>
      <c r="U646" s="229">
        <f t="shared" ca="1" si="22"/>
        <v>0</v>
      </c>
      <c r="V646" s="229"/>
      <c r="W646" s="229"/>
      <c r="Y646" s="223" t="str">
        <f t="shared" si="23"/>
        <v/>
      </c>
    </row>
    <row r="647" spans="1:25" s="223" customFormat="1" ht="20.25">
      <c r="A647" s="291"/>
      <c r="B647" s="292" t="str">
        <f>IF(LEN(A647)=0,"",INDEX('Smelter Reference List'!$A:$A,MATCH($A647,'Smelter Reference List'!$E:$E,0)))</f>
        <v/>
      </c>
      <c r="C647" s="298" t="str">
        <f>IF(LEN(A647)=0,"",INDEX('Smelter Reference List'!$C:$C,MATCH($A647,'Smelter Reference List'!$E:$E,0)))</f>
        <v/>
      </c>
      <c r="D647" s="292" t="str">
        <f ca="1">IF(ISERROR($S647),"",OFFSET('Smelter Reference List'!$C$4,$S647-4,0)&amp;"")</f>
        <v/>
      </c>
      <c r="E647" s="292" t="str">
        <f ca="1">IF(ISERROR($S647),"",OFFSET('Smelter Reference List'!$D$4,$S647-4,0)&amp;"")</f>
        <v/>
      </c>
      <c r="F647" s="292" t="str">
        <f ca="1">IF(ISERROR($S647),"",OFFSET('Smelter Reference List'!$E$4,$S647-4,0))</f>
        <v/>
      </c>
      <c r="G647" s="292" t="str">
        <f ca="1">IF(C647=$U$4,"Enter smelter details", IF(ISERROR($S647),"",OFFSET('Smelter Reference List'!$F$4,$S647-4,0)))</f>
        <v/>
      </c>
      <c r="H647" s="293" t="str">
        <f ca="1">IF(ISERROR($S647),"",OFFSET('Smelter Reference List'!$G$4,$S647-4,0))</f>
        <v/>
      </c>
      <c r="I647" s="294" t="str">
        <f ca="1">IF(ISERROR($S647),"",OFFSET('Smelter Reference List'!$H$4,$S647-4,0))</f>
        <v/>
      </c>
      <c r="J647" s="294" t="str">
        <f ca="1">IF(ISERROR($S647),"",OFFSET('Smelter Reference List'!$I$4,$S647-4,0))</f>
        <v/>
      </c>
      <c r="K647" s="295"/>
      <c r="L647" s="295"/>
      <c r="M647" s="295"/>
      <c r="N647" s="295"/>
      <c r="O647" s="295"/>
      <c r="P647" s="295"/>
      <c r="Q647" s="296"/>
      <c r="R647" s="227"/>
      <c r="S647" s="228" t="e">
        <f>IF(C647="",NA(),MATCH($B647&amp;$C647,'Smelter Reference List'!$J:$J,0))</f>
        <v>#N/A</v>
      </c>
      <c r="T647" s="229"/>
      <c r="U647" s="229">
        <f t="shared" ca="1" si="22"/>
        <v>0</v>
      </c>
      <c r="V647" s="229"/>
      <c r="W647" s="229"/>
      <c r="Y647" s="223" t="str">
        <f t="shared" si="23"/>
        <v/>
      </c>
    </row>
    <row r="648" spans="1:25" s="223" customFormat="1" ht="20.25">
      <c r="A648" s="291"/>
      <c r="B648" s="292" t="str">
        <f>IF(LEN(A648)=0,"",INDEX('Smelter Reference List'!$A:$A,MATCH($A648,'Smelter Reference List'!$E:$E,0)))</f>
        <v/>
      </c>
      <c r="C648" s="298" t="str">
        <f>IF(LEN(A648)=0,"",INDEX('Smelter Reference List'!$C:$C,MATCH($A648,'Smelter Reference List'!$E:$E,0)))</f>
        <v/>
      </c>
      <c r="D648" s="292" t="str">
        <f ca="1">IF(ISERROR($S648),"",OFFSET('Smelter Reference List'!$C$4,$S648-4,0)&amp;"")</f>
        <v/>
      </c>
      <c r="E648" s="292" t="str">
        <f ca="1">IF(ISERROR($S648),"",OFFSET('Smelter Reference List'!$D$4,$S648-4,0)&amp;"")</f>
        <v/>
      </c>
      <c r="F648" s="292" t="str">
        <f ca="1">IF(ISERROR($S648),"",OFFSET('Smelter Reference List'!$E$4,$S648-4,0))</f>
        <v/>
      </c>
      <c r="G648" s="292" t="str">
        <f ca="1">IF(C648=$U$4,"Enter smelter details", IF(ISERROR($S648),"",OFFSET('Smelter Reference List'!$F$4,$S648-4,0)))</f>
        <v/>
      </c>
      <c r="H648" s="293" t="str">
        <f ca="1">IF(ISERROR($S648),"",OFFSET('Smelter Reference List'!$G$4,$S648-4,0))</f>
        <v/>
      </c>
      <c r="I648" s="294" t="str">
        <f ca="1">IF(ISERROR($S648),"",OFFSET('Smelter Reference List'!$H$4,$S648-4,0))</f>
        <v/>
      </c>
      <c r="J648" s="294" t="str">
        <f ca="1">IF(ISERROR($S648),"",OFFSET('Smelter Reference List'!$I$4,$S648-4,0))</f>
        <v/>
      </c>
      <c r="K648" s="295"/>
      <c r="L648" s="295"/>
      <c r="M648" s="295"/>
      <c r="N648" s="295"/>
      <c r="O648" s="295"/>
      <c r="P648" s="295"/>
      <c r="Q648" s="296"/>
      <c r="R648" s="227"/>
      <c r="S648" s="228" t="e">
        <f>IF(C648="",NA(),MATCH($B648&amp;$C648,'Smelter Reference List'!$J:$J,0))</f>
        <v>#N/A</v>
      </c>
      <c r="T648" s="229"/>
      <c r="U648" s="229">
        <f t="shared" ca="1" si="22"/>
        <v>0</v>
      </c>
      <c r="V648" s="229"/>
      <c r="W648" s="229"/>
      <c r="Y648" s="223" t="str">
        <f t="shared" si="23"/>
        <v/>
      </c>
    </row>
    <row r="649" spans="1:25" s="223" customFormat="1" ht="20.25">
      <c r="A649" s="291"/>
      <c r="B649" s="292" t="str">
        <f>IF(LEN(A649)=0,"",INDEX('Smelter Reference List'!$A:$A,MATCH($A649,'Smelter Reference List'!$E:$E,0)))</f>
        <v/>
      </c>
      <c r="C649" s="298" t="str">
        <f>IF(LEN(A649)=0,"",INDEX('Smelter Reference List'!$C:$C,MATCH($A649,'Smelter Reference List'!$E:$E,0)))</f>
        <v/>
      </c>
      <c r="D649" s="292" t="str">
        <f ca="1">IF(ISERROR($S649),"",OFFSET('Smelter Reference List'!$C$4,$S649-4,0)&amp;"")</f>
        <v/>
      </c>
      <c r="E649" s="292" t="str">
        <f ca="1">IF(ISERROR($S649),"",OFFSET('Smelter Reference List'!$D$4,$S649-4,0)&amp;"")</f>
        <v/>
      </c>
      <c r="F649" s="292" t="str">
        <f ca="1">IF(ISERROR($S649),"",OFFSET('Smelter Reference List'!$E$4,$S649-4,0))</f>
        <v/>
      </c>
      <c r="G649" s="292" t="str">
        <f ca="1">IF(C649=$U$4,"Enter smelter details", IF(ISERROR($S649),"",OFFSET('Smelter Reference List'!$F$4,$S649-4,0)))</f>
        <v/>
      </c>
      <c r="H649" s="293" t="str">
        <f ca="1">IF(ISERROR($S649),"",OFFSET('Smelter Reference List'!$G$4,$S649-4,0))</f>
        <v/>
      </c>
      <c r="I649" s="294" t="str">
        <f ca="1">IF(ISERROR($S649),"",OFFSET('Smelter Reference List'!$H$4,$S649-4,0))</f>
        <v/>
      </c>
      <c r="J649" s="294" t="str">
        <f ca="1">IF(ISERROR($S649),"",OFFSET('Smelter Reference List'!$I$4,$S649-4,0))</f>
        <v/>
      </c>
      <c r="K649" s="295"/>
      <c r="L649" s="295"/>
      <c r="M649" s="295"/>
      <c r="N649" s="295"/>
      <c r="O649" s="295"/>
      <c r="P649" s="295"/>
      <c r="Q649" s="296"/>
      <c r="R649" s="227"/>
      <c r="S649" s="228" t="e">
        <f>IF(C649="",NA(),MATCH($B649&amp;$C649,'Smelter Reference List'!$J:$J,0))</f>
        <v>#N/A</v>
      </c>
      <c r="T649" s="229"/>
      <c r="U649" s="229">
        <f t="shared" ca="1" si="22"/>
        <v>0</v>
      </c>
      <c r="V649" s="229"/>
      <c r="W649" s="229"/>
      <c r="Y649" s="223" t="str">
        <f t="shared" si="23"/>
        <v/>
      </c>
    </row>
    <row r="650" spans="1:25" s="223" customFormat="1" ht="20.25">
      <c r="A650" s="291"/>
      <c r="B650" s="292" t="str">
        <f>IF(LEN(A650)=0,"",INDEX('Smelter Reference List'!$A:$A,MATCH($A650,'Smelter Reference List'!$E:$E,0)))</f>
        <v/>
      </c>
      <c r="C650" s="298" t="str">
        <f>IF(LEN(A650)=0,"",INDEX('Smelter Reference List'!$C:$C,MATCH($A650,'Smelter Reference List'!$E:$E,0)))</f>
        <v/>
      </c>
      <c r="D650" s="292" t="str">
        <f ca="1">IF(ISERROR($S650),"",OFFSET('Smelter Reference List'!$C$4,$S650-4,0)&amp;"")</f>
        <v/>
      </c>
      <c r="E650" s="292" t="str">
        <f ca="1">IF(ISERROR($S650),"",OFFSET('Smelter Reference List'!$D$4,$S650-4,0)&amp;"")</f>
        <v/>
      </c>
      <c r="F650" s="292" t="str">
        <f ca="1">IF(ISERROR($S650),"",OFFSET('Smelter Reference List'!$E$4,$S650-4,0))</f>
        <v/>
      </c>
      <c r="G650" s="292" t="str">
        <f ca="1">IF(C650=$U$4,"Enter smelter details", IF(ISERROR($S650),"",OFFSET('Smelter Reference List'!$F$4,$S650-4,0)))</f>
        <v/>
      </c>
      <c r="H650" s="293" t="str">
        <f ca="1">IF(ISERROR($S650),"",OFFSET('Smelter Reference List'!$G$4,$S650-4,0))</f>
        <v/>
      </c>
      <c r="I650" s="294" t="str">
        <f ca="1">IF(ISERROR($S650),"",OFFSET('Smelter Reference List'!$H$4,$S650-4,0))</f>
        <v/>
      </c>
      <c r="J650" s="294" t="str">
        <f ca="1">IF(ISERROR($S650),"",OFFSET('Smelter Reference List'!$I$4,$S650-4,0))</f>
        <v/>
      </c>
      <c r="K650" s="295"/>
      <c r="L650" s="295"/>
      <c r="M650" s="295"/>
      <c r="N650" s="295"/>
      <c r="O650" s="295"/>
      <c r="P650" s="295"/>
      <c r="Q650" s="296"/>
      <c r="R650" s="227"/>
      <c r="S650" s="228" t="e">
        <f>IF(C650="",NA(),MATCH($B650&amp;$C650,'Smelter Reference List'!$J:$J,0))</f>
        <v>#N/A</v>
      </c>
      <c r="T650" s="229"/>
      <c r="U650" s="229">
        <f t="shared" ca="1" si="22"/>
        <v>0</v>
      </c>
      <c r="V650" s="229"/>
      <c r="W650" s="229"/>
      <c r="Y650" s="223" t="str">
        <f t="shared" si="23"/>
        <v/>
      </c>
    </row>
    <row r="651" spans="1:25" s="223" customFormat="1" ht="20.25">
      <c r="A651" s="291"/>
      <c r="B651" s="292" t="str">
        <f>IF(LEN(A651)=0,"",INDEX('Smelter Reference List'!$A:$A,MATCH($A651,'Smelter Reference List'!$E:$E,0)))</f>
        <v/>
      </c>
      <c r="C651" s="298" t="str">
        <f>IF(LEN(A651)=0,"",INDEX('Smelter Reference List'!$C:$C,MATCH($A651,'Smelter Reference List'!$E:$E,0)))</f>
        <v/>
      </c>
      <c r="D651" s="292" t="str">
        <f ca="1">IF(ISERROR($S651),"",OFFSET('Smelter Reference List'!$C$4,$S651-4,0)&amp;"")</f>
        <v/>
      </c>
      <c r="E651" s="292" t="str">
        <f ca="1">IF(ISERROR($S651),"",OFFSET('Smelter Reference List'!$D$4,$S651-4,0)&amp;"")</f>
        <v/>
      </c>
      <c r="F651" s="292" t="str">
        <f ca="1">IF(ISERROR($S651),"",OFFSET('Smelter Reference List'!$E$4,$S651-4,0))</f>
        <v/>
      </c>
      <c r="G651" s="292" t="str">
        <f ca="1">IF(C651=$U$4,"Enter smelter details", IF(ISERROR($S651),"",OFFSET('Smelter Reference List'!$F$4,$S651-4,0)))</f>
        <v/>
      </c>
      <c r="H651" s="293" t="str">
        <f ca="1">IF(ISERROR($S651),"",OFFSET('Smelter Reference List'!$G$4,$S651-4,0))</f>
        <v/>
      </c>
      <c r="I651" s="294" t="str">
        <f ca="1">IF(ISERROR($S651),"",OFFSET('Smelter Reference List'!$H$4,$S651-4,0))</f>
        <v/>
      </c>
      <c r="J651" s="294" t="str">
        <f ca="1">IF(ISERROR($S651),"",OFFSET('Smelter Reference List'!$I$4,$S651-4,0))</f>
        <v/>
      </c>
      <c r="K651" s="295"/>
      <c r="L651" s="295"/>
      <c r="M651" s="295"/>
      <c r="N651" s="295"/>
      <c r="O651" s="295"/>
      <c r="P651" s="295"/>
      <c r="Q651" s="296"/>
      <c r="R651" s="227"/>
      <c r="S651" s="228" t="e">
        <f>IF(C651="",NA(),MATCH($B651&amp;$C651,'Smelter Reference List'!$J:$J,0))</f>
        <v>#N/A</v>
      </c>
      <c r="T651" s="229"/>
      <c r="U651" s="229">
        <f t="shared" ca="1" si="22"/>
        <v>0</v>
      </c>
      <c r="V651" s="229"/>
      <c r="W651" s="229"/>
      <c r="Y651" s="223" t="str">
        <f t="shared" si="23"/>
        <v/>
      </c>
    </row>
    <row r="652" spans="1:25" s="223" customFormat="1" ht="20.25">
      <c r="A652" s="291"/>
      <c r="B652" s="292" t="str">
        <f>IF(LEN(A652)=0,"",INDEX('Smelter Reference List'!$A:$A,MATCH($A652,'Smelter Reference List'!$E:$E,0)))</f>
        <v/>
      </c>
      <c r="C652" s="298" t="str">
        <f>IF(LEN(A652)=0,"",INDEX('Smelter Reference List'!$C:$C,MATCH($A652,'Smelter Reference List'!$E:$E,0)))</f>
        <v/>
      </c>
      <c r="D652" s="292" t="str">
        <f ca="1">IF(ISERROR($S652),"",OFFSET('Smelter Reference List'!$C$4,$S652-4,0)&amp;"")</f>
        <v/>
      </c>
      <c r="E652" s="292" t="str">
        <f ca="1">IF(ISERROR($S652),"",OFFSET('Smelter Reference List'!$D$4,$S652-4,0)&amp;"")</f>
        <v/>
      </c>
      <c r="F652" s="292" t="str">
        <f ca="1">IF(ISERROR($S652),"",OFFSET('Smelter Reference List'!$E$4,$S652-4,0))</f>
        <v/>
      </c>
      <c r="G652" s="292" t="str">
        <f ca="1">IF(C652=$U$4,"Enter smelter details", IF(ISERROR($S652),"",OFFSET('Smelter Reference List'!$F$4,$S652-4,0)))</f>
        <v/>
      </c>
      <c r="H652" s="293" t="str">
        <f ca="1">IF(ISERROR($S652),"",OFFSET('Smelter Reference List'!$G$4,$S652-4,0))</f>
        <v/>
      </c>
      <c r="I652" s="294" t="str">
        <f ca="1">IF(ISERROR($S652),"",OFFSET('Smelter Reference List'!$H$4,$S652-4,0))</f>
        <v/>
      </c>
      <c r="J652" s="294" t="str">
        <f ca="1">IF(ISERROR($S652),"",OFFSET('Smelter Reference List'!$I$4,$S652-4,0))</f>
        <v/>
      </c>
      <c r="K652" s="295"/>
      <c r="L652" s="295"/>
      <c r="M652" s="295"/>
      <c r="N652" s="295"/>
      <c r="O652" s="295"/>
      <c r="P652" s="295"/>
      <c r="Q652" s="296"/>
      <c r="R652" s="227"/>
      <c r="S652" s="228" t="e">
        <f>IF(C652="",NA(),MATCH($B652&amp;$C652,'Smelter Reference List'!$J:$J,0))</f>
        <v>#N/A</v>
      </c>
      <c r="T652" s="229"/>
      <c r="U652" s="229">
        <f t="shared" ca="1" si="22"/>
        <v>0</v>
      </c>
      <c r="V652" s="229"/>
      <c r="W652" s="229"/>
      <c r="Y652" s="223" t="str">
        <f t="shared" si="23"/>
        <v/>
      </c>
    </row>
    <row r="653" spans="1:25" s="223" customFormat="1" ht="20.25">
      <c r="A653" s="291"/>
      <c r="B653" s="292" t="str">
        <f>IF(LEN(A653)=0,"",INDEX('Smelter Reference List'!$A:$A,MATCH($A653,'Smelter Reference List'!$E:$E,0)))</f>
        <v/>
      </c>
      <c r="C653" s="298" t="str">
        <f>IF(LEN(A653)=0,"",INDEX('Smelter Reference List'!$C:$C,MATCH($A653,'Smelter Reference List'!$E:$E,0)))</f>
        <v/>
      </c>
      <c r="D653" s="292" t="str">
        <f ca="1">IF(ISERROR($S653),"",OFFSET('Smelter Reference List'!$C$4,$S653-4,0)&amp;"")</f>
        <v/>
      </c>
      <c r="E653" s="292" t="str">
        <f ca="1">IF(ISERROR($S653),"",OFFSET('Smelter Reference List'!$D$4,$S653-4,0)&amp;"")</f>
        <v/>
      </c>
      <c r="F653" s="292" t="str">
        <f ca="1">IF(ISERROR($S653),"",OFFSET('Smelter Reference List'!$E$4,$S653-4,0))</f>
        <v/>
      </c>
      <c r="G653" s="292" t="str">
        <f ca="1">IF(C653=$U$4,"Enter smelter details", IF(ISERROR($S653),"",OFFSET('Smelter Reference List'!$F$4,$S653-4,0)))</f>
        <v/>
      </c>
      <c r="H653" s="293" t="str">
        <f ca="1">IF(ISERROR($S653),"",OFFSET('Smelter Reference List'!$G$4,$S653-4,0))</f>
        <v/>
      </c>
      <c r="I653" s="294" t="str">
        <f ca="1">IF(ISERROR($S653),"",OFFSET('Smelter Reference List'!$H$4,$S653-4,0))</f>
        <v/>
      </c>
      <c r="J653" s="294" t="str">
        <f ca="1">IF(ISERROR($S653),"",OFFSET('Smelter Reference List'!$I$4,$S653-4,0))</f>
        <v/>
      </c>
      <c r="K653" s="295"/>
      <c r="L653" s="295"/>
      <c r="M653" s="295"/>
      <c r="N653" s="295"/>
      <c r="O653" s="295"/>
      <c r="P653" s="295"/>
      <c r="Q653" s="296"/>
      <c r="R653" s="227"/>
      <c r="S653" s="228" t="e">
        <f>IF(C653="",NA(),MATCH($B653&amp;$C653,'Smelter Reference List'!$J:$J,0))</f>
        <v>#N/A</v>
      </c>
      <c r="T653" s="229"/>
      <c r="U653" s="229">
        <f t="shared" ca="1" si="22"/>
        <v>0</v>
      </c>
      <c r="V653" s="229"/>
      <c r="W653" s="229"/>
      <c r="Y653" s="223" t="str">
        <f t="shared" si="23"/>
        <v/>
      </c>
    </row>
    <row r="654" spans="1:25" s="223" customFormat="1" ht="20.25">
      <c r="A654" s="291"/>
      <c r="B654" s="292" t="str">
        <f>IF(LEN(A654)=0,"",INDEX('Smelter Reference List'!$A:$A,MATCH($A654,'Smelter Reference List'!$E:$E,0)))</f>
        <v/>
      </c>
      <c r="C654" s="298" t="str">
        <f>IF(LEN(A654)=0,"",INDEX('Smelter Reference List'!$C:$C,MATCH($A654,'Smelter Reference List'!$E:$E,0)))</f>
        <v/>
      </c>
      <c r="D654" s="292" t="str">
        <f ca="1">IF(ISERROR($S654),"",OFFSET('Smelter Reference List'!$C$4,$S654-4,0)&amp;"")</f>
        <v/>
      </c>
      <c r="E654" s="292" t="str">
        <f ca="1">IF(ISERROR($S654),"",OFFSET('Smelter Reference List'!$D$4,$S654-4,0)&amp;"")</f>
        <v/>
      </c>
      <c r="F654" s="292" t="str">
        <f ca="1">IF(ISERROR($S654),"",OFFSET('Smelter Reference List'!$E$4,$S654-4,0))</f>
        <v/>
      </c>
      <c r="G654" s="292" t="str">
        <f ca="1">IF(C654=$U$4,"Enter smelter details", IF(ISERROR($S654),"",OFFSET('Smelter Reference List'!$F$4,$S654-4,0)))</f>
        <v/>
      </c>
      <c r="H654" s="293" t="str">
        <f ca="1">IF(ISERROR($S654),"",OFFSET('Smelter Reference List'!$G$4,$S654-4,0))</f>
        <v/>
      </c>
      <c r="I654" s="294" t="str">
        <f ca="1">IF(ISERROR($S654),"",OFFSET('Smelter Reference List'!$H$4,$S654-4,0))</f>
        <v/>
      </c>
      <c r="J654" s="294" t="str">
        <f ca="1">IF(ISERROR($S654),"",OFFSET('Smelter Reference List'!$I$4,$S654-4,0))</f>
        <v/>
      </c>
      <c r="K654" s="295"/>
      <c r="L654" s="295"/>
      <c r="M654" s="295"/>
      <c r="N654" s="295"/>
      <c r="O654" s="295"/>
      <c r="P654" s="295"/>
      <c r="Q654" s="296"/>
      <c r="R654" s="227"/>
      <c r="S654" s="228" t="e">
        <f>IF(C654="",NA(),MATCH($B654&amp;$C654,'Smelter Reference List'!$J:$J,0))</f>
        <v>#N/A</v>
      </c>
      <c r="T654" s="229"/>
      <c r="U654" s="229">
        <f t="shared" ca="1" si="22"/>
        <v>0</v>
      </c>
      <c r="V654" s="229"/>
      <c r="W654" s="229"/>
      <c r="Y654" s="223" t="str">
        <f t="shared" si="23"/>
        <v/>
      </c>
    </row>
    <row r="655" spans="1:25" s="223" customFormat="1" ht="20.25">
      <c r="A655" s="291"/>
      <c r="B655" s="292" t="str">
        <f>IF(LEN(A655)=0,"",INDEX('Smelter Reference List'!$A:$A,MATCH($A655,'Smelter Reference List'!$E:$E,0)))</f>
        <v/>
      </c>
      <c r="C655" s="298" t="str">
        <f>IF(LEN(A655)=0,"",INDEX('Smelter Reference List'!$C:$C,MATCH($A655,'Smelter Reference List'!$E:$E,0)))</f>
        <v/>
      </c>
      <c r="D655" s="292" t="str">
        <f ca="1">IF(ISERROR($S655),"",OFFSET('Smelter Reference List'!$C$4,$S655-4,0)&amp;"")</f>
        <v/>
      </c>
      <c r="E655" s="292" t="str">
        <f ca="1">IF(ISERROR($S655),"",OFFSET('Smelter Reference List'!$D$4,$S655-4,0)&amp;"")</f>
        <v/>
      </c>
      <c r="F655" s="292" t="str">
        <f ca="1">IF(ISERROR($S655),"",OFFSET('Smelter Reference List'!$E$4,$S655-4,0))</f>
        <v/>
      </c>
      <c r="G655" s="292" t="str">
        <f ca="1">IF(C655=$U$4,"Enter smelter details", IF(ISERROR($S655),"",OFFSET('Smelter Reference List'!$F$4,$S655-4,0)))</f>
        <v/>
      </c>
      <c r="H655" s="293" t="str">
        <f ca="1">IF(ISERROR($S655),"",OFFSET('Smelter Reference List'!$G$4,$S655-4,0))</f>
        <v/>
      </c>
      <c r="I655" s="294" t="str">
        <f ca="1">IF(ISERROR($S655),"",OFFSET('Smelter Reference List'!$H$4,$S655-4,0))</f>
        <v/>
      </c>
      <c r="J655" s="294" t="str">
        <f ca="1">IF(ISERROR($S655),"",OFFSET('Smelter Reference List'!$I$4,$S655-4,0))</f>
        <v/>
      </c>
      <c r="K655" s="295"/>
      <c r="L655" s="295"/>
      <c r="M655" s="295"/>
      <c r="N655" s="295"/>
      <c r="O655" s="295"/>
      <c r="P655" s="295"/>
      <c r="Q655" s="296"/>
      <c r="R655" s="227"/>
      <c r="S655" s="228" t="e">
        <f>IF(C655="",NA(),MATCH($B655&amp;$C655,'Smelter Reference List'!$J:$J,0))</f>
        <v>#N/A</v>
      </c>
      <c r="T655" s="229"/>
      <c r="U655" s="229">
        <f t="shared" ca="1" si="22"/>
        <v>0</v>
      </c>
      <c r="V655" s="229"/>
      <c r="W655" s="229"/>
      <c r="Y655" s="223" t="str">
        <f t="shared" si="23"/>
        <v/>
      </c>
    </row>
    <row r="656" spans="1:25" s="223" customFormat="1" ht="20.25">
      <c r="A656" s="291"/>
      <c r="B656" s="292" t="str">
        <f>IF(LEN(A656)=0,"",INDEX('Smelter Reference List'!$A:$A,MATCH($A656,'Smelter Reference List'!$E:$E,0)))</f>
        <v/>
      </c>
      <c r="C656" s="298" t="str">
        <f>IF(LEN(A656)=0,"",INDEX('Smelter Reference List'!$C:$C,MATCH($A656,'Smelter Reference List'!$E:$E,0)))</f>
        <v/>
      </c>
      <c r="D656" s="292" t="str">
        <f ca="1">IF(ISERROR($S656),"",OFFSET('Smelter Reference List'!$C$4,$S656-4,0)&amp;"")</f>
        <v/>
      </c>
      <c r="E656" s="292" t="str">
        <f ca="1">IF(ISERROR($S656),"",OFFSET('Smelter Reference List'!$D$4,$S656-4,0)&amp;"")</f>
        <v/>
      </c>
      <c r="F656" s="292" t="str">
        <f ca="1">IF(ISERROR($S656),"",OFFSET('Smelter Reference List'!$E$4,$S656-4,0))</f>
        <v/>
      </c>
      <c r="G656" s="292" t="str">
        <f ca="1">IF(C656=$U$4,"Enter smelter details", IF(ISERROR($S656),"",OFFSET('Smelter Reference List'!$F$4,$S656-4,0)))</f>
        <v/>
      </c>
      <c r="H656" s="293" t="str">
        <f ca="1">IF(ISERROR($S656),"",OFFSET('Smelter Reference List'!$G$4,$S656-4,0))</f>
        <v/>
      </c>
      <c r="I656" s="294" t="str">
        <f ca="1">IF(ISERROR($S656),"",OFFSET('Smelter Reference List'!$H$4,$S656-4,0))</f>
        <v/>
      </c>
      <c r="J656" s="294" t="str">
        <f ca="1">IF(ISERROR($S656),"",OFFSET('Smelter Reference List'!$I$4,$S656-4,0))</f>
        <v/>
      </c>
      <c r="K656" s="295"/>
      <c r="L656" s="295"/>
      <c r="M656" s="295"/>
      <c r="N656" s="295"/>
      <c r="O656" s="295"/>
      <c r="P656" s="295"/>
      <c r="Q656" s="296"/>
      <c r="R656" s="227"/>
      <c r="S656" s="228" t="e">
        <f>IF(C656="",NA(),MATCH($B656&amp;$C656,'Smelter Reference List'!$J:$J,0))</f>
        <v>#N/A</v>
      </c>
      <c r="T656" s="229"/>
      <c r="U656" s="229">
        <f t="shared" ca="1" si="22"/>
        <v>0</v>
      </c>
      <c r="V656" s="229"/>
      <c r="W656" s="229"/>
      <c r="Y656" s="223" t="str">
        <f t="shared" si="23"/>
        <v/>
      </c>
    </row>
    <row r="657" spans="1:25" s="223" customFormat="1" ht="20.25">
      <c r="A657" s="291"/>
      <c r="B657" s="292" t="str">
        <f>IF(LEN(A657)=0,"",INDEX('Smelter Reference List'!$A:$A,MATCH($A657,'Smelter Reference List'!$E:$E,0)))</f>
        <v/>
      </c>
      <c r="C657" s="298" t="str">
        <f>IF(LEN(A657)=0,"",INDEX('Smelter Reference List'!$C:$C,MATCH($A657,'Smelter Reference List'!$E:$E,0)))</f>
        <v/>
      </c>
      <c r="D657" s="292" t="str">
        <f ca="1">IF(ISERROR($S657),"",OFFSET('Smelter Reference List'!$C$4,$S657-4,0)&amp;"")</f>
        <v/>
      </c>
      <c r="E657" s="292" t="str">
        <f ca="1">IF(ISERROR($S657),"",OFFSET('Smelter Reference List'!$D$4,$S657-4,0)&amp;"")</f>
        <v/>
      </c>
      <c r="F657" s="292" t="str">
        <f ca="1">IF(ISERROR($S657),"",OFFSET('Smelter Reference List'!$E$4,$S657-4,0))</f>
        <v/>
      </c>
      <c r="G657" s="292" t="str">
        <f ca="1">IF(C657=$U$4,"Enter smelter details", IF(ISERROR($S657),"",OFFSET('Smelter Reference List'!$F$4,$S657-4,0)))</f>
        <v/>
      </c>
      <c r="H657" s="293" t="str">
        <f ca="1">IF(ISERROR($S657),"",OFFSET('Smelter Reference List'!$G$4,$S657-4,0))</f>
        <v/>
      </c>
      <c r="I657" s="294" t="str">
        <f ca="1">IF(ISERROR($S657),"",OFFSET('Smelter Reference List'!$H$4,$S657-4,0))</f>
        <v/>
      </c>
      <c r="J657" s="294" t="str">
        <f ca="1">IF(ISERROR($S657),"",OFFSET('Smelter Reference List'!$I$4,$S657-4,0))</f>
        <v/>
      </c>
      <c r="K657" s="295"/>
      <c r="L657" s="295"/>
      <c r="M657" s="295"/>
      <c r="N657" s="295"/>
      <c r="O657" s="295"/>
      <c r="P657" s="295"/>
      <c r="Q657" s="296"/>
      <c r="R657" s="227"/>
      <c r="S657" s="228" t="e">
        <f>IF(C657="",NA(),MATCH($B657&amp;$C657,'Smelter Reference List'!$J:$J,0))</f>
        <v>#N/A</v>
      </c>
      <c r="T657" s="229"/>
      <c r="U657" s="229">
        <f t="shared" ca="1" si="22"/>
        <v>0</v>
      </c>
      <c r="V657" s="229"/>
      <c r="W657" s="229"/>
      <c r="Y657" s="223" t="str">
        <f t="shared" si="23"/>
        <v/>
      </c>
    </row>
    <row r="658" spans="1:25" s="223" customFormat="1" ht="20.25">
      <c r="A658" s="291"/>
      <c r="B658" s="292" t="str">
        <f>IF(LEN(A658)=0,"",INDEX('Smelter Reference List'!$A:$A,MATCH($A658,'Smelter Reference List'!$E:$E,0)))</f>
        <v/>
      </c>
      <c r="C658" s="298" t="str">
        <f>IF(LEN(A658)=0,"",INDEX('Smelter Reference List'!$C:$C,MATCH($A658,'Smelter Reference List'!$E:$E,0)))</f>
        <v/>
      </c>
      <c r="D658" s="292" t="str">
        <f ca="1">IF(ISERROR($S658),"",OFFSET('Smelter Reference List'!$C$4,$S658-4,0)&amp;"")</f>
        <v/>
      </c>
      <c r="E658" s="292" t="str">
        <f ca="1">IF(ISERROR($S658),"",OFFSET('Smelter Reference List'!$D$4,$S658-4,0)&amp;"")</f>
        <v/>
      </c>
      <c r="F658" s="292" t="str">
        <f ca="1">IF(ISERROR($S658),"",OFFSET('Smelter Reference List'!$E$4,$S658-4,0))</f>
        <v/>
      </c>
      <c r="G658" s="292" t="str">
        <f ca="1">IF(C658=$U$4,"Enter smelter details", IF(ISERROR($S658),"",OFFSET('Smelter Reference List'!$F$4,$S658-4,0)))</f>
        <v/>
      </c>
      <c r="H658" s="293" t="str">
        <f ca="1">IF(ISERROR($S658),"",OFFSET('Smelter Reference List'!$G$4,$S658-4,0))</f>
        <v/>
      </c>
      <c r="I658" s="294" t="str">
        <f ca="1">IF(ISERROR($S658),"",OFFSET('Smelter Reference List'!$H$4,$S658-4,0))</f>
        <v/>
      </c>
      <c r="J658" s="294" t="str">
        <f ca="1">IF(ISERROR($S658),"",OFFSET('Smelter Reference List'!$I$4,$S658-4,0))</f>
        <v/>
      </c>
      <c r="K658" s="295"/>
      <c r="L658" s="295"/>
      <c r="M658" s="295"/>
      <c r="N658" s="295"/>
      <c r="O658" s="295"/>
      <c r="P658" s="295"/>
      <c r="Q658" s="296"/>
      <c r="R658" s="227"/>
      <c r="S658" s="228" t="e">
        <f>IF(C658="",NA(),MATCH($B658&amp;$C658,'Smelter Reference List'!$J:$J,0))</f>
        <v>#N/A</v>
      </c>
      <c r="T658" s="229"/>
      <c r="U658" s="229">
        <f t="shared" ca="1" si="22"/>
        <v>0</v>
      </c>
      <c r="V658" s="229"/>
      <c r="W658" s="229"/>
      <c r="Y658" s="223" t="str">
        <f t="shared" si="23"/>
        <v/>
      </c>
    </row>
    <row r="659" spans="1:25" s="223" customFormat="1" ht="20.25">
      <c r="A659" s="291"/>
      <c r="B659" s="292" t="str">
        <f>IF(LEN(A659)=0,"",INDEX('Smelter Reference List'!$A:$A,MATCH($A659,'Smelter Reference List'!$E:$E,0)))</f>
        <v/>
      </c>
      <c r="C659" s="298" t="str">
        <f>IF(LEN(A659)=0,"",INDEX('Smelter Reference List'!$C:$C,MATCH($A659,'Smelter Reference List'!$E:$E,0)))</f>
        <v/>
      </c>
      <c r="D659" s="292" t="str">
        <f ca="1">IF(ISERROR($S659),"",OFFSET('Smelter Reference List'!$C$4,$S659-4,0)&amp;"")</f>
        <v/>
      </c>
      <c r="E659" s="292" t="str">
        <f ca="1">IF(ISERROR($S659),"",OFFSET('Smelter Reference List'!$D$4,$S659-4,0)&amp;"")</f>
        <v/>
      </c>
      <c r="F659" s="292" t="str">
        <f ca="1">IF(ISERROR($S659),"",OFFSET('Smelter Reference List'!$E$4,$S659-4,0))</f>
        <v/>
      </c>
      <c r="G659" s="292" t="str">
        <f ca="1">IF(C659=$U$4,"Enter smelter details", IF(ISERROR($S659),"",OFFSET('Smelter Reference List'!$F$4,$S659-4,0)))</f>
        <v/>
      </c>
      <c r="H659" s="293" t="str">
        <f ca="1">IF(ISERROR($S659),"",OFFSET('Smelter Reference List'!$G$4,$S659-4,0))</f>
        <v/>
      </c>
      <c r="I659" s="294" t="str">
        <f ca="1">IF(ISERROR($S659),"",OFFSET('Smelter Reference List'!$H$4,$S659-4,0))</f>
        <v/>
      </c>
      <c r="J659" s="294" t="str">
        <f ca="1">IF(ISERROR($S659),"",OFFSET('Smelter Reference List'!$I$4,$S659-4,0))</f>
        <v/>
      </c>
      <c r="K659" s="295"/>
      <c r="L659" s="295"/>
      <c r="M659" s="295"/>
      <c r="N659" s="295"/>
      <c r="O659" s="295"/>
      <c r="P659" s="295"/>
      <c r="Q659" s="296"/>
      <c r="R659" s="227"/>
      <c r="S659" s="228" t="e">
        <f>IF(C659="",NA(),MATCH($B659&amp;$C659,'Smelter Reference List'!$J:$J,0))</f>
        <v>#N/A</v>
      </c>
      <c r="T659" s="229"/>
      <c r="U659" s="229">
        <f t="shared" ca="1" si="22"/>
        <v>0</v>
      </c>
      <c r="V659" s="229"/>
      <c r="W659" s="229"/>
      <c r="Y659" s="223" t="str">
        <f t="shared" si="23"/>
        <v/>
      </c>
    </row>
    <row r="660" spans="1:25" s="223" customFormat="1" ht="20.25">
      <c r="A660" s="291"/>
      <c r="B660" s="292" t="str">
        <f>IF(LEN(A660)=0,"",INDEX('Smelter Reference List'!$A:$A,MATCH($A660,'Smelter Reference List'!$E:$E,0)))</f>
        <v/>
      </c>
      <c r="C660" s="298" t="str">
        <f>IF(LEN(A660)=0,"",INDEX('Smelter Reference List'!$C:$C,MATCH($A660,'Smelter Reference List'!$E:$E,0)))</f>
        <v/>
      </c>
      <c r="D660" s="292" t="str">
        <f ca="1">IF(ISERROR($S660),"",OFFSET('Smelter Reference List'!$C$4,$S660-4,0)&amp;"")</f>
        <v/>
      </c>
      <c r="E660" s="292" t="str">
        <f ca="1">IF(ISERROR($S660),"",OFFSET('Smelter Reference List'!$D$4,$S660-4,0)&amp;"")</f>
        <v/>
      </c>
      <c r="F660" s="292" t="str">
        <f ca="1">IF(ISERROR($S660),"",OFFSET('Smelter Reference List'!$E$4,$S660-4,0))</f>
        <v/>
      </c>
      <c r="G660" s="292" t="str">
        <f ca="1">IF(C660=$U$4,"Enter smelter details", IF(ISERROR($S660),"",OFFSET('Smelter Reference List'!$F$4,$S660-4,0)))</f>
        <v/>
      </c>
      <c r="H660" s="293" t="str">
        <f ca="1">IF(ISERROR($S660),"",OFFSET('Smelter Reference List'!$G$4,$S660-4,0))</f>
        <v/>
      </c>
      <c r="I660" s="294" t="str">
        <f ca="1">IF(ISERROR($S660),"",OFFSET('Smelter Reference List'!$H$4,$S660-4,0))</f>
        <v/>
      </c>
      <c r="J660" s="294" t="str">
        <f ca="1">IF(ISERROR($S660),"",OFFSET('Smelter Reference List'!$I$4,$S660-4,0))</f>
        <v/>
      </c>
      <c r="K660" s="295"/>
      <c r="L660" s="295"/>
      <c r="M660" s="295"/>
      <c r="N660" s="295"/>
      <c r="O660" s="295"/>
      <c r="P660" s="295"/>
      <c r="Q660" s="296"/>
      <c r="R660" s="227"/>
      <c r="S660" s="228" t="e">
        <f>IF(C660="",NA(),MATCH($B660&amp;$C660,'Smelter Reference List'!$J:$J,0))</f>
        <v>#N/A</v>
      </c>
      <c r="T660" s="229"/>
      <c r="U660" s="229">
        <f t="shared" ca="1" si="22"/>
        <v>0</v>
      </c>
      <c r="V660" s="229"/>
      <c r="W660" s="229"/>
      <c r="Y660" s="223" t="str">
        <f t="shared" si="23"/>
        <v/>
      </c>
    </row>
    <row r="661" spans="1:25" s="223" customFormat="1" ht="20.25">
      <c r="A661" s="291"/>
      <c r="B661" s="292" t="str">
        <f>IF(LEN(A661)=0,"",INDEX('Smelter Reference List'!$A:$A,MATCH($A661,'Smelter Reference List'!$E:$E,0)))</f>
        <v/>
      </c>
      <c r="C661" s="298" t="str">
        <f>IF(LEN(A661)=0,"",INDEX('Smelter Reference List'!$C:$C,MATCH($A661,'Smelter Reference List'!$E:$E,0)))</f>
        <v/>
      </c>
      <c r="D661" s="292" t="str">
        <f ca="1">IF(ISERROR($S661),"",OFFSET('Smelter Reference List'!$C$4,$S661-4,0)&amp;"")</f>
        <v/>
      </c>
      <c r="E661" s="292" t="str">
        <f ca="1">IF(ISERROR($S661),"",OFFSET('Smelter Reference List'!$D$4,$S661-4,0)&amp;"")</f>
        <v/>
      </c>
      <c r="F661" s="292" t="str">
        <f ca="1">IF(ISERROR($S661),"",OFFSET('Smelter Reference List'!$E$4,$S661-4,0))</f>
        <v/>
      </c>
      <c r="G661" s="292" t="str">
        <f ca="1">IF(C661=$U$4,"Enter smelter details", IF(ISERROR($S661),"",OFFSET('Smelter Reference List'!$F$4,$S661-4,0)))</f>
        <v/>
      </c>
      <c r="H661" s="293" t="str">
        <f ca="1">IF(ISERROR($S661),"",OFFSET('Smelter Reference List'!$G$4,$S661-4,0))</f>
        <v/>
      </c>
      <c r="I661" s="294" t="str">
        <f ca="1">IF(ISERROR($S661),"",OFFSET('Smelter Reference List'!$H$4,$S661-4,0))</f>
        <v/>
      </c>
      <c r="J661" s="294" t="str">
        <f ca="1">IF(ISERROR($S661),"",OFFSET('Smelter Reference List'!$I$4,$S661-4,0))</f>
        <v/>
      </c>
      <c r="K661" s="295"/>
      <c r="L661" s="295"/>
      <c r="M661" s="295"/>
      <c r="N661" s="295"/>
      <c r="O661" s="295"/>
      <c r="P661" s="295"/>
      <c r="Q661" s="296"/>
      <c r="R661" s="227"/>
      <c r="S661" s="228" t="e">
        <f>IF(C661="",NA(),MATCH($B661&amp;$C661,'Smelter Reference List'!$J:$J,0))</f>
        <v>#N/A</v>
      </c>
      <c r="T661" s="229"/>
      <c r="U661" s="229">
        <f t="shared" ca="1" si="22"/>
        <v>0</v>
      </c>
      <c r="V661" s="229"/>
      <c r="W661" s="229"/>
      <c r="Y661" s="223" t="str">
        <f t="shared" si="23"/>
        <v/>
      </c>
    </row>
    <row r="662" spans="1:25" s="223" customFormat="1" ht="20.25">
      <c r="A662" s="291"/>
      <c r="B662" s="292" t="str">
        <f>IF(LEN(A662)=0,"",INDEX('Smelter Reference List'!$A:$A,MATCH($A662,'Smelter Reference List'!$E:$E,0)))</f>
        <v/>
      </c>
      <c r="C662" s="298" t="str">
        <f>IF(LEN(A662)=0,"",INDEX('Smelter Reference List'!$C:$C,MATCH($A662,'Smelter Reference List'!$E:$E,0)))</f>
        <v/>
      </c>
      <c r="D662" s="292" t="str">
        <f ca="1">IF(ISERROR($S662),"",OFFSET('Smelter Reference List'!$C$4,$S662-4,0)&amp;"")</f>
        <v/>
      </c>
      <c r="E662" s="292" t="str">
        <f ca="1">IF(ISERROR($S662),"",OFFSET('Smelter Reference List'!$D$4,$S662-4,0)&amp;"")</f>
        <v/>
      </c>
      <c r="F662" s="292" t="str">
        <f ca="1">IF(ISERROR($S662),"",OFFSET('Smelter Reference List'!$E$4,$S662-4,0))</f>
        <v/>
      </c>
      <c r="G662" s="292" t="str">
        <f ca="1">IF(C662=$U$4,"Enter smelter details", IF(ISERROR($S662),"",OFFSET('Smelter Reference List'!$F$4,$S662-4,0)))</f>
        <v/>
      </c>
      <c r="H662" s="293" t="str">
        <f ca="1">IF(ISERROR($S662),"",OFFSET('Smelter Reference List'!$G$4,$S662-4,0))</f>
        <v/>
      </c>
      <c r="I662" s="294" t="str">
        <f ca="1">IF(ISERROR($S662),"",OFFSET('Smelter Reference List'!$H$4,$S662-4,0))</f>
        <v/>
      </c>
      <c r="J662" s="294" t="str">
        <f ca="1">IF(ISERROR($S662),"",OFFSET('Smelter Reference List'!$I$4,$S662-4,0))</f>
        <v/>
      </c>
      <c r="K662" s="295"/>
      <c r="L662" s="295"/>
      <c r="M662" s="295"/>
      <c r="N662" s="295"/>
      <c r="O662" s="295"/>
      <c r="P662" s="295"/>
      <c r="Q662" s="296"/>
      <c r="R662" s="227"/>
      <c r="S662" s="228" t="e">
        <f>IF(C662="",NA(),MATCH($B662&amp;$C662,'Smelter Reference List'!$J:$J,0))</f>
        <v>#N/A</v>
      </c>
      <c r="T662" s="229"/>
      <c r="U662" s="229">
        <f t="shared" ca="1" si="22"/>
        <v>0</v>
      </c>
      <c r="V662" s="229"/>
      <c r="W662" s="229"/>
      <c r="Y662" s="223" t="str">
        <f t="shared" si="23"/>
        <v/>
      </c>
    </row>
    <row r="663" spans="1:25" s="223" customFormat="1" ht="20.25">
      <c r="A663" s="291"/>
      <c r="B663" s="292" t="str">
        <f>IF(LEN(A663)=0,"",INDEX('Smelter Reference List'!$A:$A,MATCH($A663,'Smelter Reference List'!$E:$E,0)))</f>
        <v/>
      </c>
      <c r="C663" s="298" t="str">
        <f>IF(LEN(A663)=0,"",INDEX('Smelter Reference List'!$C:$C,MATCH($A663,'Smelter Reference List'!$E:$E,0)))</f>
        <v/>
      </c>
      <c r="D663" s="292" t="str">
        <f ca="1">IF(ISERROR($S663),"",OFFSET('Smelter Reference List'!$C$4,$S663-4,0)&amp;"")</f>
        <v/>
      </c>
      <c r="E663" s="292" t="str">
        <f ca="1">IF(ISERROR($S663),"",OFFSET('Smelter Reference List'!$D$4,$S663-4,0)&amp;"")</f>
        <v/>
      </c>
      <c r="F663" s="292" t="str">
        <f ca="1">IF(ISERROR($S663),"",OFFSET('Smelter Reference List'!$E$4,$S663-4,0))</f>
        <v/>
      </c>
      <c r="G663" s="292" t="str">
        <f ca="1">IF(C663=$U$4,"Enter smelter details", IF(ISERROR($S663),"",OFFSET('Smelter Reference List'!$F$4,$S663-4,0)))</f>
        <v/>
      </c>
      <c r="H663" s="293" t="str">
        <f ca="1">IF(ISERROR($S663),"",OFFSET('Smelter Reference List'!$G$4,$S663-4,0))</f>
        <v/>
      </c>
      <c r="I663" s="294" t="str">
        <f ca="1">IF(ISERROR($S663),"",OFFSET('Smelter Reference List'!$H$4,$S663-4,0))</f>
        <v/>
      </c>
      <c r="J663" s="294" t="str">
        <f ca="1">IF(ISERROR($S663),"",OFFSET('Smelter Reference List'!$I$4,$S663-4,0))</f>
        <v/>
      </c>
      <c r="K663" s="295"/>
      <c r="L663" s="295"/>
      <c r="M663" s="295"/>
      <c r="N663" s="295"/>
      <c r="O663" s="295"/>
      <c r="P663" s="295"/>
      <c r="Q663" s="296"/>
      <c r="R663" s="227"/>
      <c r="S663" s="228" t="e">
        <f>IF(C663="",NA(),MATCH($B663&amp;$C663,'Smelter Reference List'!$J:$J,0))</f>
        <v>#N/A</v>
      </c>
      <c r="T663" s="229"/>
      <c r="U663" s="229">
        <f t="shared" ca="1" si="22"/>
        <v>0</v>
      </c>
      <c r="V663" s="229"/>
      <c r="W663" s="229"/>
      <c r="Y663" s="223" t="str">
        <f t="shared" si="23"/>
        <v/>
      </c>
    </row>
    <row r="664" spans="1:25" s="223" customFormat="1" ht="20.25">
      <c r="A664" s="291"/>
      <c r="B664" s="292" t="str">
        <f>IF(LEN(A664)=0,"",INDEX('Smelter Reference List'!$A:$A,MATCH($A664,'Smelter Reference List'!$E:$E,0)))</f>
        <v/>
      </c>
      <c r="C664" s="298" t="str">
        <f>IF(LEN(A664)=0,"",INDEX('Smelter Reference List'!$C:$C,MATCH($A664,'Smelter Reference List'!$E:$E,0)))</f>
        <v/>
      </c>
      <c r="D664" s="292" t="str">
        <f ca="1">IF(ISERROR($S664),"",OFFSET('Smelter Reference List'!$C$4,$S664-4,0)&amp;"")</f>
        <v/>
      </c>
      <c r="E664" s="292" t="str">
        <f ca="1">IF(ISERROR($S664),"",OFFSET('Smelter Reference List'!$D$4,$S664-4,0)&amp;"")</f>
        <v/>
      </c>
      <c r="F664" s="292" t="str">
        <f ca="1">IF(ISERROR($S664),"",OFFSET('Smelter Reference List'!$E$4,$S664-4,0))</f>
        <v/>
      </c>
      <c r="G664" s="292" t="str">
        <f ca="1">IF(C664=$U$4,"Enter smelter details", IF(ISERROR($S664),"",OFFSET('Smelter Reference List'!$F$4,$S664-4,0)))</f>
        <v/>
      </c>
      <c r="H664" s="293" t="str">
        <f ca="1">IF(ISERROR($S664),"",OFFSET('Smelter Reference List'!$G$4,$S664-4,0))</f>
        <v/>
      </c>
      <c r="I664" s="294" t="str">
        <f ca="1">IF(ISERROR($S664),"",OFFSET('Smelter Reference List'!$H$4,$S664-4,0))</f>
        <v/>
      </c>
      <c r="J664" s="294" t="str">
        <f ca="1">IF(ISERROR($S664),"",OFFSET('Smelter Reference List'!$I$4,$S664-4,0))</f>
        <v/>
      </c>
      <c r="K664" s="295"/>
      <c r="L664" s="295"/>
      <c r="M664" s="295"/>
      <c r="N664" s="295"/>
      <c r="O664" s="295"/>
      <c r="P664" s="295"/>
      <c r="Q664" s="296"/>
      <c r="R664" s="227"/>
      <c r="S664" s="228" t="e">
        <f>IF(C664="",NA(),MATCH($B664&amp;$C664,'Smelter Reference List'!$J:$J,0))</f>
        <v>#N/A</v>
      </c>
      <c r="T664" s="229"/>
      <c r="U664" s="229">
        <f t="shared" ca="1" si="22"/>
        <v>0</v>
      </c>
      <c r="V664" s="229"/>
      <c r="W664" s="229"/>
      <c r="Y664" s="223" t="str">
        <f t="shared" si="23"/>
        <v/>
      </c>
    </row>
    <row r="665" spans="1:25" s="223" customFormat="1" ht="20.25">
      <c r="A665" s="291"/>
      <c r="B665" s="292" t="str">
        <f>IF(LEN(A665)=0,"",INDEX('Smelter Reference List'!$A:$A,MATCH($A665,'Smelter Reference List'!$E:$E,0)))</f>
        <v/>
      </c>
      <c r="C665" s="298" t="str">
        <f>IF(LEN(A665)=0,"",INDEX('Smelter Reference List'!$C:$C,MATCH($A665,'Smelter Reference List'!$E:$E,0)))</f>
        <v/>
      </c>
      <c r="D665" s="292" t="str">
        <f ca="1">IF(ISERROR($S665),"",OFFSET('Smelter Reference List'!$C$4,$S665-4,0)&amp;"")</f>
        <v/>
      </c>
      <c r="E665" s="292" t="str">
        <f ca="1">IF(ISERROR($S665),"",OFFSET('Smelter Reference List'!$D$4,$S665-4,0)&amp;"")</f>
        <v/>
      </c>
      <c r="F665" s="292" t="str">
        <f ca="1">IF(ISERROR($S665),"",OFFSET('Smelter Reference List'!$E$4,$S665-4,0))</f>
        <v/>
      </c>
      <c r="G665" s="292" t="str">
        <f ca="1">IF(C665=$U$4,"Enter smelter details", IF(ISERROR($S665),"",OFFSET('Smelter Reference List'!$F$4,$S665-4,0)))</f>
        <v/>
      </c>
      <c r="H665" s="293" t="str">
        <f ca="1">IF(ISERROR($S665),"",OFFSET('Smelter Reference List'!$G$4,$S665-4,0))</f>
        <v/>
      </c>
      <c r="I665" s="294" t="str">
        <f ca="1">IF(ISERROR($S665),"",OFFSET('Smelter Reference List'!$H$4,$S665-4,0))</f>
        <v/>
      </c>
      <c r="J665" s="294" t="str">
        <f ca="1">IF(ISERROR($S665),"",OFFSET('Smelter Reference List'!$I$4,$S665-4,0))</f>
        <v/>
      </c>
      <c r="K665" s="295"/>
      <c r="L665" s="295"/>
      <c r="M665" s="295"/>
      <c r="N665" s="295"/>
      <c r="O665" s="295"/>
      <c r="P665" s="295"/>
      <c r="Q665" s="296"/>
      <c r="R665" s="227"/>
      <c r="S665" s="228" t="e">
        <f>IF(C665="",NA(),MATCH($B665&amp;$C665,'Smelter Reference List'!$J:$J,0))</f>
        <v>#N/A</v>
      </c>
      <c r="T665" s="229"/>
      <c r="U665" s="229">
        <f t="shared" ca="1" si="22"/>
        <v>0</v>
      </c>
      <c r="V665" s="229"/>
      <c r="W665" s="229"/>
      <c r="Y665" s="223" t="str">
        <f t="shared" si="23"/>
        <v/>
      </c>
    </row>
    <row r="666" spans="1:25" s="223" customFormat="1" ht="20.25">
      <c r="A666" s="291"/>
      <c r="B666" s="292" t="str">
        <f>IF(LEN(A666)=0,"",INDEX('Smelter Reference List'!$A:$A,MATCH($A666,'Smelter Reference List'!$E:$E,0)))</f>
        <v/>
      </c>
      <c r="C666" s="298" t="str">
        <f>IF(LEN(A666)=0,"",INDEX('Smelter Reference List'!$C:$C,MATCH($A666,'Smelter Reference List'!$E:$E,0)))</f>
        <v/>
      </c>
      <c r="D666" s="292" t="str">
        <f ca="1">IF(ISERROR($S666),"",OFFSET('Smelter Reference List'!$C$4,$S666-4,0)&amp;"")</f>
        <v/>
      </c>
      <c r="E666" s="292" t="str">
        <f ca="1">IF(ISERROR($S666),"",OFFSET('Smelter Reference List'!$D$4,$S666-4,0)&amp;"")</f>
        <v/>
      </c>
      <c r="F666" s="292" t="str">
        <f ca="1">IF(ISERROR($S666),"",OFFSET('Smelter Reference List'!$E$4,$S666-4,0))</f>
        <v/>
      </c>
      <c r="G666" s="292" t="str">
        <f ca="1">IF(C666=$U$4,"Enter smelter details", IF(ISERROR($S666),"",OFFSET('Smelter Reference List'!$F$4,$S666-4,0)))</f>
        <v/>
      </c>
      <c r="H666" s="293" t="str">
        <f ca="1">IF(ISERROR($S666),"",OFFSET('Smelter Reference List'!$G$4,$S666-4,0))</f>
        <v/>
      </c>
      <c r="I666" s="294" t="str">
        <f ca="1">IF(ISERROR($S666),"",OFFSET('Smelter Reference List'!$H$4,$S666-4,0))</f>
        <v/>
      </c>
      <c r="J666" s="294" t="str">
        <f ca="1">IF(ISERROR($S666),"",OFFSET('Smelter Reference List'!$I$4,$S666-4,0))</f>
        <v/>
      </c>
      <c r="K666" s="295"/>
      <c r="L666" s="295"/>
      <c r="M666" s="295"/>
      <c r="N666" s="295"/>
      <c r="O666" s="295"/>
      <c r="P666" s="295"/>
      <c r="Q666" s="296"/>
      <c r="R666" s="227"/>
      <c r="S666" s="228" t="e">
        <f>IF(C666="",NA(),MATCH($B666&amp;$C666,'Smelter Reference List'!$J:$J,0))</f>
        <v>#N/A</v>
      </c>
      <c r="T666" s="229"/>
      <c r="U666" s="229">
        <f t="shared" ca="1" si="22"/>
        <v>0</v>
      </c>
      <c r="V666" s="229"/>
      <c r="W666" s="229"/>
      <c r="Y666" s="223" t="str">
        <f t="shared" si="23"/>
        <v/>
      </c>
    </row>
    <row r="667" spans="1:25" s="223" customFormat="1" ht="20.25">
      <c r="A667" s="291"/>
      <c r="B667" s="292" t="str">
        <f>IF(LEN(A667)=0,"",INDEX('Smelter Reference List'!$A:$A,MATCH($A667,'Smelter Reference List'!$E:$E,0)))</f>
        <v/>
      </c>
      <c r="C667" s="298" t="str">
        <f>IF(LEN(A667)=0,"",INDEX('Smelter Reference List'!$C:$C,MATCH($A667,'Smelter Reference List'!$E:$E,0)))</f>
        <v/>
      </c>
      <c r="D667" s="292" t="str">
        <f ca="1">IF(ISERROR($S667),"",OFFSET('Smelter Reference List'!$C$4,$S667-4,0)&amp;"")</f>
        <v/>
      </c>
      <c r="E667" s="292" t="str">
        <f ca="1">IF(ISERROR($S667),"",OFFSET('Smelter Reference List'!$D$4,$S667-4,0)&amp;"")</f>
        <v/>
      </c>
      <c r="F667" s="292" t="str">
        <f ca="1">IF(ISERROR($S667),"",OFFSET('Smelter Reference List'!$E$4,$S667-4,0))</f>
        <v/>
      </c>
      <c r="G667" s="292" t="str">
        <f ca="1">IF(C667=$U$4,"Enter smelter details", IF(ISERROR($S667),"",OFFSET('Smelter Reference List'!$F$4,$S667-4,0)))</f>
        <v/>
      </c>
      <c r="H667" s="293" t="str">
        <f ca="1">IF(ISERROR($S667),"",OFFSET('Smelter Reference List'!$G$4,$S667-4,0))</f>
        <v/>
      </c>
      <c r="I667" s="294" t="str">
        <f ca="1">IF(ISERROR($S667),"",OFFSET('Smelter Reference List'!$H$4,$S667-4,0))</f>
        <v/>
      </c>
      <c r="J667" s="294" t="str">
        <f ca="1">IF(ISERROR($S667),"",OFFSET('Smelter Reference List'!$I$4,$S667-4,0))</f>
        <v/>
      </c>
      <c r="K667" s="295"/>
      <c r="L667" s="295"/>
      <c r="M667" s="295"/>
      <c r="N667" s="295"/>
      <c r="O667" s="295"/>
      <c r="P667" s="295"/>
      <c r="Q667" s="296"/>
      <c r="R667" s="227"/>
      <c r="S667" s="228" t="e">
        <f>IF(C667="",NA(),MATCH($B667&amp;$C667,'Smelter Reference List'!$J:$J,0))</f>
        <v>#N/A</v>
      </c>
      <c r="T667" s="229"/>
      <c r="U667" s="229">
        <f t="shared" ca="1" si="22"/>
        <v>0</v>
      </c>
      <c r="V667" s="229"/>
      <c r="W667" s="229"/>
      <c r="Y667" s="223" t="str">
        <f t="shared" si="23"/>
        <v/>
      </c>
    </row>
    <row r="668" spans="1:25" s="223" customFormat="1" ht="20.25">
      <c r="A668" s="291"/>
      <c r="B668" s="292" t="str">
        <f>IF(LEN(A668)=0,"",INDEX('Smelter Reference List'!$A:$A,MATCH($A668,'Smelter Reference List'!$E:$E,0)))</f>
        <v/>
      </c>
      <c r="C668" s="298" t="str">
        <f>IF(LEN(A668)=0,"",INDEX('Smelter Reference List'!$C:$C,MATCH($A668,'Smelter Reference List'!$E:$E,0)))</f>
        <v/>
      </c>
      <c r="D668" s="292" t="str">
        <f ca="1">IF(ISERROR($S668),"",OFFSET('Smelter Reference List'!$C$4,$S668-4,0)&amp;"")</f>
        <v/>
      </c>
      <c r="E668" s="292" t="str">
        <f ca="1">IF(ISERROR($S668),"",OFFSET('Smelter Reference List'!$D$4,$S668-4,0)&amp;"")</f>
        <v/>
      </c>
      <c r="F668" s="292" t="str">
        <f ca="1">IF(ISERROR($S668),"",OFFSET('Smelter Reference List'!$E$4,$S668-4,0))</f>
        <v/>
      </c>
      <c r="G668" s="292" t="str">
        <f ca="1">IF(C668=$U$4,"Enter smelter details", IF(ISERROR($S668),"",OFFSET('Smelter Reference List'!$F$4,$S668-4,0)))</f>
        <v/>
      </c>
      <c r="H668" s="293" t="str">
        <f ca="1">IF(ISERROR($S668),"",OFFSET('Smelter Reference List'!$G$4,$S668-4,0))</f>
        <v/>
      </c>
      <c r="I668" s="294" t="str">
        <f ca="1">IF(ISERROR($S668),"",OFFSET('Smelter Reference List'!$H$4,$S668-4,0))</f>
        <v/>
      </c>
      <c r="J668" s="294" t="str">
        <f ca="1">IF(ISERROR($S668),"",OFFSET('Smelter Reference List'!$I$4,$S668-4,0))</f>
        <v/>
      </c>
      <c r="K668" s="295"/>
      <c r="L668" s="295"/>
      <c r="M668" s="295"/>
      <c r="N668" s="295"/>
      <c r="O668" s="295"/>
      <c r="P668" s="295"/>
      <c r="Q668" s="296"/>
      <c r="R668" s="227"/>
      <c r="S668" s="228" t="e">
        <f>IF(C668="",NA(),MATCH($B668&amp;$C668,'Smelter Reference List'!$J:$J,0))</f>
        <v>#N/A</v>
      </c>
      <c r="T668" s="229"/>
      <c r="U668" s="229">
        <f t="shared" ca="1" si="22"/>
        <v>0</v>
      </c>
      <c r="V668" s="229"/>
      <c r="W668" s="229"/>
      <c r="Y668" s="223" t="str">
        <f t="shared" si="23"/>
        <v/>
      </c>
    </row>
    <row r="669" spans="1:25" s="223" customFormat="1" ht="20.25">
      <c r="A669" s="291"/>
      <c r="B669" s="292" t="str">
        <f>IF(LEN(A669)=0,"",INDEX('Smelter Reference List'!$A:$A,MATCH($A669,'Smelter Reference List'!$E:$E,0)))</f>
        <v/>
      </c>
      <c r="C669" s="298" t="str">
        <f>IF(LEN(A669)=0,"",INDEX('Smelter Reference List'!$C:$C,MATCH($A669,'Smelter Reference List'!$E:$E,0)))</f>
        <v/>
      </c>
      <c r="D669" s="292" t="str">
        <f ca="1">IF(ISERROR($S669),"",OFFSET('Smelter Reference List'!$C$4,$S669-4,0)&amp;"")</f>
        <v/>
      </c>
      <c r="E669" s="292" t="str">
        <f ca="1">IF(ISERROR($S669),"",OFFSET('Smelter Reference List'!$D$4,$S669-4,0)&amp;"")</f>
        <v/>
      </c>
      <c r="F669" s="292" t="str">
        <f ca="1">IF(ISERROR($S669),"",OFFSET('Smelter Reference List'!$E$4,$S669-4,0))</f>
        <v/>
      </c>
      <c r="G669" s="292" t="str">
        <f ca="1">IF(C669=$U$4,"Enter smelter details", IF(ISERROR($S669),"",OFFSET('Smelter Reference List'!$F$4,$S669-4,0)))</f>
        <v/>
      </c>
      <c r="H669" s="293" t="str">
        <f ca="1">IF(ISERROR($S669),"",OFFSET('Smelter Reference List'!$G$4,$S669-4,0))</f>
        <v/>
      </c>
      <c r="I669" s="294" t="str">
        <f ca="1">IF(ISERROR($S669),"",OFFSET('Smelter Reference List'!$H$4,$S669-4,0))</f>
        <v/>
      </c>
      <c r="J669" s="294" t="str">
        <f ca="1">IF(ISERROR($S669),"",OFFSET('Smelter Reference List'!$I$4,$S669-4,0))</f>
        <v/>
      </c>
      <c r="K669" s="295"/>
      <c r="L669" s="295"/>
      <c r="M669" s="295"/>
      <c r="N669" s="295"/>
      <c r="O669" s="295"/>
      <c r="P669" s="295"/>
      <c r="Q669" s="296"/>
      <c r="R669" s="227"/>
      <c r="S669" s="228" t="e">
        <f>IF(C669="",NA(),MATCH($B669&amp;$C669,'Smelter Reference List'!$J:$J,0))</f>
        <v>#N/A</v>
      </c>
      <c r="T669" s="229"/>
      <c r="U669" s="229">
        <f t="shared" ca="1" si="22"/>
        <v>0</v>
      </c>
      <c r="V669" s="229"/>
      <c r="W669" s="229"/>
      <c r="Y669" s="223" t="str">
        <f t="shared" si="23"/>
        <v/>
      </c>
    </row>
    <row r="670" spans="1:25" s="223" customFormat="1" ht="20.25">
      <c r="A670" s="291"/>
      <c r="B670" s="292" t="str">
        <f>IF(LEN(A670)=0,"",INDEX('Smelter Reference List'!$A:$A,MATCH($A670,'Smelter Reference List'!$E:$E,0)))</f>
        <v/>
      </c>
      <c r="C670" s="298" t="str">
        <f>IF(LEN(A670)=0,"",INDEX('Smelter Reference List'!$C:$C,MATCH($A670,'Smelter Reference List'!$E:$E,0)))</f>
        <v/>
      </c>
      <c r="D670" s="292" t="str">
        <f ca="1">IF(ISERROR($S670),"",OFFSET('Smelter Reference List'!$C$4,$S670-4,0)&amp;"")</f>
        <v/>
      </c>
      <c r="E670" s="292" t="str">
        <f ca="1">IF(ISERROR($S670),"",OFFSET('Smelter Reference List'!$D$4,$S670-4,0)&amp;"")</f>
        <v/>
      </c>
      <c r="F670" s="292" t="str">
        <f ca="1">IF(ISERROR($S670),"",OFFSET('Smelter Reference List'!$E$4,$S670-4,0))</f>
        <v/>
      </c>
      <c r="G670" s="292" t="str">
        <f ca="1">IF(C670=$U$4,"Enter smelter details", IF(ISERROR($S670),"",OFFSET('Smelter Reference List'!$F$4,$S670-4,0)))</f>
        <v/>
      </c>
      <c r="H670" s="293" t="str">
        <f ca="1">IF(ISERROR($S670),"",OFFSET('Smelter Reference List'!$G$4,$S670-4,0))</f>
        <v/>
      </c>
      <c r="I670" s="294" t="str">
        <f ca="1">IF(ISERROR($S670),"",OFFSET('Smelter Reference List'!$H$4,$S670-4,0))</f>
        <v/>
      </c>
      <c r="J670" s="294" t="str">
        <f ca="1">IF(ISERROR($S670),"",OFFSET('Smelter Reference List'!$I$4,$S670-4,0))</f>
        <v/>
      </c>
      <c r="K670" s="295"/>
      <c r="L670" s="295"/>
      <c r="M670" s="295"/>
      <c r="N670" s="295"/>
      <c r="O670" s="295"/>
      <c r="P670" s="295"/>
      <c r="Q670" s="296"/>
      <c r="R670" s="227"/>
      <c r="S670" s="228" t="e">
        <f>IF(C670="",NA(),MATCH($B670&amp;$C670,'Smelter Reference List'!$J:$J,0))</f>
        <v>#N/A</v>
      </c>
      <c r="T670" s="229"/>
      <c r="U670" s="229">
        <f t="shared" ca="1" si="22"/>
        <v>0</v>
      </c>
      <c r="V670" s="229"/>
      <c r="W670" s="229"/>
      <c r="Y670" s="223" t="str">
        <f t="shared" si="23"/>
        <v/>
      </c>
    </row>
    <row r="671" spans="1:25" s="223" customFormat="1" ht="20.25">
      <c r="A671" s="291"/>
      <c r="B671" s="292" t="str">
        <f>IF(LEN(A671)=0,"",INDEX('Smelter Reference List'!$A:$A,MATCH($A671,'Smelter Reference List'!$E:$E,0)))</f>
        <v/>
      </c>
      <c r="C671" s="298" t="str">
        <f>IF(LEN(A671)=0,"",INDEX('Smelter Reference List'!$C:$C,MATCH($A671,'Smelter Reference List'!$E:$E,0)))</f>
        <v/>
      </c>
      <c r="D671" s="292" t="str">
        <f ca="1">IF(ISERROR($S671),"",OFFSET('Smelter Reference List'!$C$4,$S671-4,0)&amp;"")</f>
        <v/>
      </c>
      <c r="E671" s="292" t="str">
        <f ca="1">IF(ISERROR($S671),"",OFFSET('Smelter Reference List'!$D$4,$S671-4,0)&amp;"")</f>
        <v/>
      </c>
      <c r="F671" s="292" t="str">
        <f ca="1">IF(ISERROR($S671),"",OFFSET('Smelter Reference List'!$E$4,$S671-4,0))</f>
        <v/>
      </c>
      <c r="G671" s="292" t="str">
        <f ca="1">IF(C671=$U$4,"Enter smelter details", IF(ISERROR($S671),"",OFFSET('Smelter Reference List'!$F$4,$S671-4,0)))</f>
        <v/>
      </c>
      <c r="H671" s="293" t="str">
        <f ca="1">IF(ISERROR($S671),"",OFFSET('Smelter Reference List'!$G$4,$S671-4,0))</f>
        <v/>
      </c>
      <c r="I671" s="294" t="str">
        <f ca="1">IF(ISERROR($S671),"",OFFSET('Smelter Reference List'!$H$4,$S671-4,0))</f>
        <v/>
      </c>
      <c r="J671" s="294" t="str">
        <f ca="1">IF(ISERROR($S671),"",OFFSET('Smelter Reference List'!$I$4,$S671-4,0))</f>
        <v/>
      </c>
      <c r="K671" s="295"/>
      <c r="L671" s="295"/>
      <c r="M671" s="295"/>
      <c r="N671" s="295"/>
      <c r="O671" s="295"/>
      <c r="P671" s="295"/>
      <c r="Q671" s="296"/>
      <c r="R671" s="227"/>
      <c r="S671" s="228" t="e">
        <f>IF(C671="",NA(),MATCH($B671&amp;$C671,'Smelter Reference List'!$J:$J,0))</f>
        <v>#N/A</v>
      </c>
      <c r="T671" s="229"/>
      <c r="U671" s="229">
        <f t="shared" ca="1" si="22"/>
        <v>0</v>
      </c>
      <c r="V671" s="229"/>
      <c r="W671" s="229"/>
      <c r="Y671" s="223" t="str">
        <f t="shared" si="23"/>
        <v/>
      </c>
    </row>
    <row r="672" spans="1:25" s="223" customFormat="1" ht="20.25">
      <c r="A672" s="291"/>
      <c r="B672" s="292" t="str">
        <f>IF(LEN(A672)=0,"",INDEX('Smelter Reference List'!$A:$A,MATCH($A672,'Smelter Reference List'!$E:$E,0)))</f>
        <v/>
      </c>
      <c r="C672" s="298" t="str">
        <f>IF(LEN(A672)=0,"",INDEX('Smelter Reference List'!$C:$C,MATCH($A672,'Smelter Reference List'!$E:$E,0)))</f>
        <v/>
      </c>
      <c r="D672" s="292" t="str">
        <f ca="1">IF(ISERROR($S672),"",OFFSET('Smelter Reference List'!$C$4,$S672-4,0)&amp;"")</f>
        <v/>
      </c>
      <c r="E672" s="292" t="str">
        <f ca="1">IF(ISERROR($S672),"",OFFSET('Smelter Reference List'!$D$4,$S672-4,0)&amp;"")</f>
        <v/>
      </c>
      <c r="F672" s="292" t="str">
        <f ca="1">IF(ISERROR($S672),"",OFFSET('Smelter Reference List'!$E$4,$S672-4,0))</f>
        <v/>
      </c>
      <c r="G672" s="292" t="str">
        <f ca="1">IF(C672=$U$4,"Enter smelter details", IF(ISERROR($S672),"",OFFSET('Smelter Reference List'!$F$4,$S672-4,0)))</f>
        <v/>
      </c>
      <c r="H672" s="293" t="str">
        <f ca="1">IF(ISERROR($S672),"",OFFSET('Smelter Reference List'!$G$4,$S672-4,0))</f>
        <v/>
      </c>
      <c r="I672" s="294" t="str">
        <f ca="1">IF(ISERROR($S672),"",OFFSET('Smelter Reference List'!$H$4,$S672-4,0))</f>
        <v/>
      </c>
      <c r="J672" s="294" t="str">
        <f ca="1">IF(ISERROR($S672),"",OFFSET('Smelter Reference List'!$I$4,$S672-4,0))</f>
        <v/>
      </c>
      <c r="K672" s="295"/>
      <c r="L672" s="295"/>
      <c r="M672" s="295"/>
      <c r="N672" s="295"/>
      <c r="O672" s="295"/>
      <c r="P672" s="295"/>
      <c r="Q672" s="296"/>
      <c r="R672" s="227"/>
      <c r="S672" s="228" t="e">
        <f>IF(C672="",NA(),MATCH($B672&amp;$C672,'Smelter Reference List'!$J:$J,0))</f>
        <v>#N/A</v>
      </c>
      <c r="T672" s="229"/>
      <c r="U672" s="229">
        <f t="shared" ca="1" si="22"/>
        <v>0</v>
      </c>
      <c r="V672" s="229"/>
      <c r="W672" s="229"/>
      <c r="Y672" s="223" t="str">
        <f t="shared" si="23"/>
        <v/>
      </c>
    </row>
    <row r="673" spans="1:25" s="223" customFormat="1" ht="20.25">
      <c r="A673" s="291"/>
      <c r="B673" s="292" t="str">
        <f>IF(LEN(A673)=0,"",INDEX('Smelter Reference List'!$A:$A,MATCH($A673,'Smelter Reference List'!$E:$E,0)))</f>
        <v/>
      </c>
      <c r="C673" s="298" t="str">
        <f>IF(LEN(A673)=0,"",INDEX('Smelter Reference List'!$C:$C,MATCH($A673,'Smelter Reference List'!$E:$E,0)))</f>
        <v/>
      </c>
      <c r="D673" s="292" t="str">
        <f ca="1">IF(ISERROR($S673),"",OFFSET('Smelter Reference List'!$C$4,$S673-4,0)&amp;"")</f>
        <v/>
      </c>
      <c r="E673" s="292" t="str">
        <f ca="1">IF(ISERROR($S673),"",OFFSET('Smelter Reference List'!$D$4,$S673-4,0)&amp;"")</f>
        <v/>
      </c>
      <c r="F673" s="292" t="str">
        <f ca="1">IF(ISERROR($S673),"",OFFSET('Smelter Reference List'!$E$4,$S673-4,0))</f>
        <v/>
      </c>
      <c r="G673" s="292" t="str">
        <f ca="1">IF(C673=$U$4,"Enter smelter details", IF(ISERROR($S673),"",OFFSET('Smelter Reference List'!$F$4,$S673-4,0)))</f>
        <v/>
      </c>
      <c r="H673" s="293" t="str">
        <f ca="1">IF(ISERROR($S673),"",OFFSET('Smelter Reference List'!$G$4,$S673-4,0))</f>
        <v/>
      </c>
      <c r="I673" s="294" t="str">
        <f ca="1">IF(ISERROR($S673),"",OFFSET('Smelter Reference List'!$H$4,$S673-4,0))</f>
        <v/>
      </c>
      <c r="J673" s="294" t="str">
        <f ca="1">IF(ISERROR($S673),"",OFFSET('Smelter Reference List'!$I$4,$S673-4,0))</f>
        <v/>
      </c>
      <c r="K673" s="295"/>
      <c r="L673" s="295"/>
      <c r="M673" s="295"/>
      <c r="N673" s="295"/>
      <c r="O673" s="295"/>
      <c r="P673" s="295"/>
      <c r="Q673" s="296"/>
      <c r="R673" s="227"/>
      <c r="S673" s="228" t="e">
        <f>IF(C673="",NA(),MATCH($B673&amp;$C673,'Smelter Reference List'!$J:$J,0))</f>
        <v>#N/A</v>
      </c>
      <c r="T673" s="229"/>
      <c r="U673" s="229">
        <f t="shared" ca="1" si="22"/>
        <v>0</v>
      </c>
      <c r="V673" s="229"/>
      <c r="W673" s="229"/>
      <c r="Y673" s="223" t="str">
        <f t="shared" si="23"/>
        <v/>
      </c>
    </row>
    <row r="674" spans="1:25" s="223" customFormat="1" ht="20.25">
      <c r="A674" s="291"/>
      <c r="B674" s="292" t="str">
        <f>IF(LEN(A674)=0,"",INDEX('Smelter Reference List'!$A:$A,MATCH($A674,'Smelter Reference List'!$E:$E,0)))</f>
        <v/>
      </c>
      <c r="C674" s="298" t="str">
        <f>IF(LEN(A674)=0,"",INDEX('Smelter Reference List'!$C:$C,MATCH($A674,'Smelter Reference List'!$E:$E,0)))</f>
        <v/>
      </c>
      <c r="D674" s="292" t="str">
        <f ca="1">IF(ISERROR($S674),"",OFFSET('Smelter Reference List'!$C$4,$S674-4,0)&amp;"")</f>
        <v/>
      </c>
      <c r="E674" s="292" t="str">
        <f ca="1">IF(ISERROR($S674),"",OFFSET('Smelter Reference List'!$D$4,$S674-4,0)&amp;"")</f>
        <v/>
      </c>
      <c r="F674" s="292" t="str">
        <f ca="1">IF(ISERROR($S674),"",OFFSET('Smelter Reference List'!$E$4,$S674-4,0))</f>
        <v/>
      </c>
      <c r="G674" s="292" t="str">
        <f ca="1">IF(C674=$U$4,"Enter smelter details", IF(ISERROR($S674),"",OFFSET('Smelter Reference List'!$F$4,$S674-4,0)))</f>
        <v/>
      </c>
      <c r="H674" s="293" t="str">
        <f ca="1">IF(ISERROR($S674),"",OFFSET('Smelter Reference List'!$G$4,$S674-4,0))</f>
        <v/>
      </c>
      <c r="I674" s="294" t="str">
        <f ca="1">IF(ISERROR($S674),"",OFFSET('Smelter Reference List'!$H$4,$S674-4,0))</f>
        <v/>
      </c>
      <c r="J674" s="294" t="str">
        <f ca="1">IF(ISERROR($S674),"",OFFSET('Smelter Reference List'!$I$4,$S674-4,0))</f>
        <v/>
      </c>
      <c r="K674" s="295"/>
      <c r="L674" s="295"/>
      <c r="M674" s="295"/>
      <c r="N674" s="295"/>
      <c r="O674" s="295"/>
      <c r="P674" s="295"/>
      <c r="Q674" s="296"/>
      <c r="R674" s="227"/>
      <c r="S674" s="228" t="e">
        <f>IF(C674="",NA(),MATCH($B674&amp;$C674,'Smelter Reference List'!$J:$J,0))</f>
        <v>#N/A</v>
      </c>
      <c r="T674" s="229"/>
      <c r="U674" s="229">
        <f t="shared" ca="1" si="22"/>
        <v>0</v>
      </c>
      <c r="V674" s="229"/>
      <c r="W674" s="229"/>
      <c r="Y674" s="223" t="str">
        <f t="shared" si="23"/>
        <v/>
      </c>
    </row>
    <row r="675" spans="1:25" s="223" customFormat="1" ht="20.25">
      <c r="A675" s="291"/>
      <c r="B675" s="292" t="str">
        <f>IF(LEN(A675)=0,"",INDEX('Smelter Reference List'!$A:$A,MATCH($A675,'Smelter Reference List'!$E:$E,0)))</f>
        <v/>
      </c>
      <c r="C675" s="298" t="str">
        <f>IF(LEN(A675)=0,"",INDEX('Smelter Reference List'!$C:$C,MATCH($A675,'Smelter Reference List'!$E:$E,0)))</f>
        <v/>
      </c>
      <c r="D675" s="292" t="str">
        <f ca="1">IF(ISERROR($S675),"",OFFSET('Smelter Reference List'!$C$4,$S675-4,0)&amp;"")</f>
        <v/>
      </c>
      <c r="E675" s="292" t="str">
        <f ca="1">IF(ISERROR($S675),"",OFFSET('Smelter Reference List'!$D$4,$S675-4,0)&amp;"")</f>
        <v/>
      </c>
      <c r="F675" s="292" t="str">
        <f ca="1">IF(ISERROR($S675),"",OFFSET('Smelter Reference List'!$E$4,$S675-4,0))</f>
        <v/>
      </c>
      <c r="G675" s="292" t="str">
        <f ca="1">IF(C675=$U$4,"Enter smelter details", IF(ISERROR($S675),"",OFFSET('Smelter Reference List'!$F$4,$S675-4,0)))</f>
        <v/>
      </c>
      <c r="H675" s="293" t="str">
        <f ca="1">IF(ISERROR($S675),"",OFFSET('Smelter Reference List'!$G$4,$S675-4,0))</f>
        <v/>
      </c>
      <c r="I675" s="294" t="str">
        <f ca="1">IF(ISERROR($S675),"",OFFSET('Smelter Reference List'!$H$4,$S675-4,0))</f>
        <v/>
      </c>
      <c r="J675" s="294" t="str">
        <f ca="1">IF(ISERROR($S675),"",OFFSET('Smelter Reference List'!$I$4,$S675-4,0))</f>
        <v/>
      </c>
      <c r="K675" s="295"/>
      <c r="L675" s="295"/>
      <c r="M675" s="295"/>
      <c r="N675" s="295"/>
      <c r="O675" s="295"/>
      <c r="P675" s="295"/>
      <c r="Q675" s="296"/>
      <c r="R675" s="227"/>
      <c r="S675" s="228" t="e">
        <f>IF(C675="",NA(),MATCH($B675&amp;$C675,'Smelter Reference List'!$J:$J,0))</f>
        <v>#N/A</v>
      </c>
      <c r="T675" s="229"/>
      <c r="U675" s="229">
        <f t="shared" ca="1" si="22"/>
        <v>0</v>
      </c>
      <c r="V675" s="229"/>
      <c r="W675" s="229"/>
      <c r="Y675" s="223" t="str">
        <f t="shared" si="23"/>
        <v/>
      </c>
    </row>
    <row r="676" spans="1:25" s="223" customFormat="1" ht="20.25">
      <c r="A676" s="291"/>
      <c r="B676" s="292" t="str">
        <f>IF(LEN(A676)=0,"",INDEX('Smelter Reference List'!$A:$A,MATCH($A676,'Smelter Reference List'!$E:$E,0)))</f>
        <v/>
      </c>
      <c r="C676" s="298" t="str">
        <f>IF(LEN(A676)=0,"",INDEX('Smelter Reference List'!$C:$C,MATCH($A676,'Smelter Reference List'!$E:$E,0)))</f>
        <v/>
      </c>
      <c r="D676" s="292" t="str">
        <f ca="1">IF(ISERROR($S676),"",OFFSET('Smelter Reference List'!$C$4,$S676-4,0)&amp;"")</f>
        <v/>
      </c>
      <c r="E676" s="292" t="str">
        <f ca="1">IF(ISERROR($S676),"",OFFSET('Smelter Reference List'!$D$4,$S676-4,0)&amp;"")</f>
        <v/>
      </c>
      <c r="F676" s="292" t="str">
        <f ca="1">IF(ISERROR($S676),"",OFFSET('Smelter Reference List'!$E$4,$S676-4,0))</f>
        <v/>
      </c>
      <c r="G676" s="292" t="str">
        <f ca="1">IF(C676=$U$4,"Enter smelter details", IF(ISERROR($S676),"",OFFSET('Smelter Reference List'!$F$4,$S676-4,0)))</f>
        <v/>
      </c>
      <c r="H676" s="293" t="str">
        <f ca="1">IF(ISERROR($S676),"",OFFSET('Smelter Reference List'!$G$4,$S676-4,0))</f>
        <v/>
      </c>
      <c r="I676" s="294" t="str">
        <f ca="1">IF(ISERROR($S676),"",OFFSET('Smelter Reference List'!$H$4,$S676-4,0))</f>
        <v/>
      </c>
      <c r="J676" s="294" t="str">
        <f ca="1">IF(ISERROR($S676),"",OFFSET('Smelter Reference List'!$I$4,$S676-4,0))</f>
        <v/>
      </c>
      <c r="K676" s="295"/>
      <c r="L676" s="295"/>
      <c r="M676" s="295"/>
      <c r="N676" s="295"/>
      <c r="O676" s="295"/>
      <c r="P676" s="295"/>
      <c r="Q676" s="296"/>
      <c r="R676" s="227"/>
      <c r="S676" s="228" t="e">
        <f>IF(C676="",NA(),MATCH($B676&amp;$C676,'Smelter Reference List'!$J:$J,0))</f>
        <v>#N/A</v>
      </c>
      <c r="T676" s="229"/>
      <c r="U676" s="229">
        <f t="shared" ca="1" si="22"/>
        <v>0</v>
      </c>
      <c r="V676" s="229"/>
      <c r="W676" s="229"/>
      <c r="Y676" s="223" t="str">
        <f t="shared" si="23"/>
        <v/>
      </c>
    </row>
    <row r="677" spans="1:25" s="223" customFormat="1" ht="20.25">
      <c r="A677" s="291"/>
      <c r="B677" s="292" t="str">
        <f>IF(LEN(A677)=0,"",INDEX('Smelter Reference List'!$A:$A,MATCH($A677,'Smelter Reference List'!$E:$E,0)))</f>
        <v/>
      </c>
      <c r="C677" s="298" t="str">
        <f>IF(LEN(A677)=0,"",INDEX('Smelter Reference List'!$C:$C,MATCH($A677,'Smelter Reference List'!$E:$E,0)))</f>
        <v/>
      </c>
      <c r="D677" s="292" t="str">
        <f ca="1">IF(ISERROR($S677),"",OFFSET('Smelter Reference List'!$C$4,$S677-4,0)&amp;"")</f>
        <v/>
      </c>
      <c r="E677" s="292" t="str">
        <f ca="1">IF(ISERROR($S677),"",OFFSET('Smelter Reference List'!$D$4,$S677-4,0)&amp;"")</f>
        <v/>
      </c>
      <c r="F677" s="292" t="str">
        <f ca="1">IF(ISERROR($S677),"",OFFSET('Smelter Reference List'!$E$4,$S677-4,0))</f>
        <v/>
      </c>
      <c r="G677" s="292" t="str">
        <f ca="1">IF(C677=$U$4,"Enter smelter details", IF(ISERROR($S677),"",OFFSET('Smelter Reference List'!$F$4,$S677-4,0)))</f>
        <v/>
      </c>
      <c r="H677" s="293" t="str">
        <f ca="1">IF(ISERROR($S677),"",OFFSET('Smelter Reference List'!$G$4,$S677-4,0))</f>
        <v/>
      </c>
      <c r="I677" s="294" t="str">
        <f ca="1">IF(ISERROR($S677),"",OFFSET('Smelter Reference List'!$H$4,$S677-4,0))</f>
        <v/>
      </c>
      <c r="J677" s="294" t="str">
        <f ca="1">IF(ISERROR($S677),"",OFFSET('Smelter Reference List'!$I$4,$S677-4,0))</f>
        <v/>
      </c>
      <c r="K677" s="295"/>
      <c r="L677" s="295"/>
      <c r="M677" s="295"/>
      <c r="N677" s="295"/>
      <c r="O677" s="295"/>
      <c r="P677" s="295"/>
      <c r="Q677" s="296"/>
      <c r="R677" s="227"/>
      <c r="S677" s="228" t="e">
        <f>IF(C677="",NA(),MATCH($B677&amp;$C677,'Smelter Reference List'!$J:$J,0))</f>
        <v>#N/A</v>
      </c>
      <c r="T677" s="229"/>
      <c r="U677" s="229">
        <f t="shared" ca="1" si="22"/>
        <v>0</v>
      </c>
      <c r="V677" s="229"/>
      <c r="W677" s="229"/>
      <c r="Y677" s="223" t="str">
        <f t="shared" si="23"/>
        <v/>
      </c>
    </row>
    <row r="678" spans="1:25" s="223" customFormat="1" ht="20.25">
      <c r="A678" s="291"/>
      <c r="B678" s="292" t="str">
        <f>IF(LEN(A678)=0,"",INDEX('Smelter Reference List'!$A:$A,MATCH($A678,'Smelter Reference List'!$E:$E,0)))</f>
        <v/>
      </c>
      <c r="C678" s="298" t="str">
        <f>IF(LEN(A678)=0,"",INDEX('Smelter Reference List'!$C:$C,MATCH($A678,'Smelter Reference List'!$E:$E,0)))</f>
        <v/>
      </c>
      <c r="D678" s="292" t="str">
        <f ca="1">IF(ISERROR($S678),"",OFFSET('Smelter Reference List'!$C$4,$S678-4,0)&amp;"")</f>
        <v/>
      </c>
      <c r="E678" s="292" t="str">
        <f ca="1">IF(ISERROR($S678),"",OFFSET('Smelter Reference List'!$D$4,$S678-4,0)&amp;"")</f>
        <v/>
      </c>
      <c r="F678" s="292" t="str">
        <f ca="1">IF(ISERROR($S678),"",OFFSET('Smelter Reference List'!$E$4,$S678-4,0))</f>
        <v/>
      </c>
      <c r="G678" s="292" t="str">
        <f ca="1">IF(C678=$U$4,"Enter smelter details", IF(ISERROR($S678),"",OFFSET('Smelter Reference List'!$F$4,$S678-4,0)))</f>
        <v/>
      </c>
      <c r="H678" s="293" t="str">
        <f ca="1">IF(ISERROR($S678),"",OFFSET('Smelter Reference List'!$G$4,$S678-4,0))</f>
        <v/>
      </c>
      <c r="I678" s="294" t="str">
        <f ca="1">IF(ISERROR($S678),"",OFFSET('Smelter Reference List'!$H$4,$S678-4,0))</f>
        <v/>
      </c>
      <c r="J678" s="294" t="str">
        <f ca="1">IF(ISERROR($S678),"",OFFSET('Smelter Reference List'!$I$4,$S678-4,0))</f>
        <v/>
      </c>
      <c r="K678" s="295"/>
      <c r="L678" s="295"/>
      <c r="M678" s="295"/>
      <c r="N678" s="295"/>
      <c r="O678" s="295"/>
      <c r="P678" s="295"/>
      <c r="Q678" s="296"/>
      <c r="R678" s="227"/>
      <c r="S678" s="228" t="e">
        <f>IF(C678="",NA(),MATCH($B678&amp;$C678,'Smelter Reference List'!$J:$J,0))</f>
        <v>#N/A</v>
      </c>
      <c r="T678" s="229"/>
      <c r="U678" s="229">
        <f t="shared" ca="1" si="22"/>
        <v>0</v>
      </c>
      <c r="V678" s="229"/>
      <c r="W678" s="229"/>
      <c r="Y678" s="223" t="str">
        <f t="shared" si="23"/>
        <v/>
      </c>
    </row>
    <row r="679" spans="1:25" s="223" customFormat="1" ht="20.25">
      <c r="A679" s="291"/>
      <c r="B679" s="292" t="str">
        <f>IF(LEN(A679)=0,"",INDEX('Smelter Reference List'!$A:$A,MATCH($A679,'Smelter Reference List'!$E:$E,0)))</f>
        <v/>
      </c>
      <c r="C679" s="298" t="str">
        <f>IF(LEN(A679)=0,"",INDEX('Smelter Reference List'!$C:$C,MATCH($A679,'Smelter Reference List'!$E:$E,0)))</f>
        <v/>
      </c>
      <c r="D679" s="292" t="str">
        <f ca="1">IF(ISERROR($S679),"",OFFSET('Smelter Reference List'!$C$4,$S679-4,0)&amp;"")</f>
        <v/>
      </c>
      <c r="E679" s="292" t="str">
        <f ca="1">IF(ISERROR($S679),"",OFFSET('Smelter Reference List'!$D$4,$S679-4,0)&amp;"")</f>
        <v/>
      </c>
      <c r="F679" s="292" t="str">
        <f ca="1">IF(ISERROR($S679),"",OFFSET('Smelter Reference List'!$E$4,$S679-4,0))</f>
        <v/>
      </c>
      <c r="G679" s="292" t="str">
        <f ca="1">IF(C679=$U$4,"Enter smelter details", IF(ISERROR($S679),"",OFFSET('Smelter Reference List'!$F$4,$S679-4,0)))</f>
        <v/>
      </c>
      <c r="H679" s="293" t="str">
        <f ca="1">IF(ISERROR($S679),"",OFFSET('Smelter Reference List'!$G$4,$S679-4,0))</f>
        <v/>
      </c>
      <c r="I679" s="294" t="str">
        <f ca="1">IF(ISERROR($S679),"",OFFSET('Smelter Reference List'!$H$4,$S679-4,0))</f>
        <v/>
      </c>
      <c r="J679" s="294" t="str">
        <f ca="1">IF(ISERROR($S679),"",OFFSET('Smelter Reference List'!$I$4,$S679-4,0))</f>
        <v/>
      </c>
      <c r="K679" s="295"/>
      <c r="L679" s="295"/>
      <c r="M679" s="295"/>
      <c r="N679" s="295"/>
      <c r="O679" s="295"/>
      <c r="P679" s="295"/>
      <c r="Q679" s="296"/>
      <c r="R679" s="227"/>
      <c r="S679" s="228" t="e">
        <f>IF(C679="",NA(),MATCH($B679&amp;$C679,'Smelter Reference List'!$J:$J,0))</f>
        <v>#N/A</v>
      </c>
      <c r="T679" s="229"/>
      <c r="U679" s="229">
        <f t="shared" ca="1" si="22"/>
        <v>0</v>
      </c>
      <c r="V679" s="229"/>
      <c r="W679" s="229"/>
      <c r="Y679" s="223" t="str">
        <f t="shared" si="23"/>
        <v/>
      </c>
    </row>
    <row r="680" spans="1:25" s="223" customFormat="1" ht="20.25">
      <c r="A680" s="291"/>
      <c r="B680" s="292" t="str">
        <f>IF(LEN(A680)=0,"",INDEX('Smelter Reference List'!$A:$A,MATCH($A680,'Smelter Reference List'!$E:$E,0)))</f>
        <v/>
      </c>
      <c r="C680" s="298" t="str">
        <f>IF(LEN(A680)=0,"",INDEX('Smelter Reference List'!$C:$C,MATCH($A680,'Smelter Reference List'!$E:$E,0)))</f>
        <v/>
      </c>
      <c r="D680" s="292" t="str">
        <f ca="1">IF(ISERROR($S680),"",OFFSET('Smelter Reference List'!$C$4,$S680-4,0)&amp;"")</f>
        <v/>
      </c>
      <c r="E680" s="292" t="str">
        <f ca="1">IF(ISERROR($S680),"",OFFSET('Smelter Reference List'!$D$4,$S680-4,0)&amp;"")</f>
        <v/>
      </c>
      <c r="F680" s="292" t="str">
        <f ca="1">IF(ISERROR($S680),"",OFFSET('Smelter Reference List'!$E$4,$S680-4,0))</f>
        <v/>
      </c>
      <c r="G680" s="292" t="str">
        <f ca="1">IF(C680=$U$4,"Enter smelter details", IF(ISERROR($S680),"",OFFSET('Smelter Reference List'!$F$4,$S680-4,0)))</f>
        <v/>
      </c>
      <c r="H680" s="293" t="str">
        <f ca="1">IF(ISERROR($S680),"",OFFSET('Smelter Reference List'!$G$4,$S680-4,0))</f>
        <v/>
      </c>
      <c r="I680" s="294" t="str">
        <f ca="1">IF(ISERROR($S680),"",OFFSET('Smelter Reference List'!$H$4,$S680-4,0))</f>
        <v/>
      </c>
      <c r="J680" s="294" t="str">
        <f ca="1">IF(ISERROR($S680),"",OFFSET('Smelter Reference List'!$I$4,$S680-4,0))</f>
        <v/>
      </c>
      <c r="K680" s="295"/>
      <c r="L680" s="295"/>
      <c r="M680" s="295"/>
      <c r="N680" s="295"/>
      <c r="O680" s="295"/>
      <c r="P680" s="295"/>
      <c r="Q680" s="296"/>
      <c r="R680" s="227"/>
      <c r="S680" s="228" t="e">
        <f>IF(C680="",NA(),MATCH($B680&amp;$C680,'Smelter Reference List'!$J:$J,0))</f>
        <v>#N/A</v>
      </c>
      <c r="T680" s="229"/>
      <c r="U680" s="229">
        <f t="shared" ca="1" si="22"/>
        <v>0</v>
      </c>
      <c r="V680" s="229"/>
      <c r="W680" s="229"/>
      <c r="Y680" s="223" t="str">
        <f t="shared" si="23"/>
        <v/>
      </c>
    </row>
    <row r="681" spans="1:25" s="223" customFormat="1" ht="20.25">
      <c r="A681" s="291"/>
      <c r="B681" s="292" t="str">
        <f>IF(LEN(A681)=0,"",INDEX('Smelter Reference List'!$A:$A,MATCH($A681,'Smelter Reference List'!$E:$E,0)))</f>
        <v/>
      </c>
      <c r="C681" s="298" t="str">
        <f>IF(LEN(A681)=0,"",INDEX('Smelter Reference List'!$C:$C,MATCH($A681,'Smelter Reference List'!$E:$E,0)))</f>
        <v/>
      </c>
      <c r="D681" s="292" t="str">
        <f ca="1">IF(ISERROR($S681),"",OFFSET('Smelter Reference List'!$C$4,$S681-4,0)&amp;"")</f>
        <v/>
      </c>
      <c r="E681" s="292" t="str">
        <f ca="1">IF(ISERROR($S681),"",OFFSET('Smelter Reference List'!$D$4,$S681-4,0)&amp;"")</f>
        <v/>
      </c>
      <c r="F681" s="292" t="str">
        <f ca="1">IF(ISERROR($S681),"",OFFSET('Smelter Reference List'!$E$4,$S681-4,0))</f>
        <v/>
      </c>
      <c r="G681" s="292" t="str">
        <f ca="1">IF(C681=$U$4,"Enter smelter details", IF(ISERROR($S681),"",OFFSET('Smelter Reference List'!$F$4,$S681-4,0)))</f>
        <v/>
      </c>
      <c r="H681" s="293" t="str">
        <f ca="1">IF(ISERROR($S681),"",OFFSET('Smelter Reference List'!$G$4,$S681-4,0))</f>
        <v/>
      </c>
      <c r="I681" s="294" t="str">
        <f ca="1">IF(ISERROR($S681),"",OFFSET('Smelter Reference List'!$H$4,$S681-4,0))</f>
        <v/>
      </c>
      <c r="J681" s="294" t="str">
        <f ca="1">IF(ISERROR($S681),"",OFFSET('Smelter Reference List'!$I$4,$S681-4,0))</f>
        <v/>
      </c>
      <c r="K681" s="295"/>
      <c r="L681" s="295"/>
      <c r="M681" s="295"/>
      <c r="N681" s="295"/>
      <c r="O681" s="295"/>
      <c r="P681" s="295"/>
      <c r="Q681" s="296"/>
      <c r="R681" s="227"/>
      <c r="S681" s="228" t="e">
        <f>IF(C681="",NA(),MATCH($B681&amp;$C681,'Smelter Reference List'!$J:$J,0))</f>
        <v>#N/A</v>
      </c>
      <c r="T681" s="229"/>
      <c r="U681" s="229">
        <f t="shared" ca="1" si="22"/>
        <v>0</v>
      </c>
      <c r="V681" s="229"/>
      <c r="W681" s="229"/>
      <c r="Y681" s="223" t="str">
        <f t="shared" si="23"/>
        <v/>
      </c>
    </row>
    <row r="682" spans="1:25" s="223" customFormat="1" ht="20.25">
      <c r="A682" s="291"/>
      <c r="B682" s="292" t="str">
        <f>IF(LEN(A682)=0,"",INDEX('Smelter Reference List'!$A:$A,MATCH($A682,'Smelter Reference List'!$E:$E,0)))</f>
        <v/>
      </c>
      <c r="C682" s="298" t="str">
        <f>IF(LEN(A682)=0,"",INDEX('Smelter Reference List'!$C:$C,MATCH($A682,'Smelter Reference List'!$E:$E,0)))</f>
        <v/>
      </c>
      <c r="D682" s="292" t="str">
        <f ca="1">IF(ISERROR($S682),"",OFFSET('Smelter Reference List'!$C$4,$S682-4,0)&amp;"")</f>
        <v/>
      </c>
      <c r="E682" s="292" t="str">
        <f ca="1">IF(ISERROR($S682),"",OFFSET('Smelter Reference List'!$D$4,$S682-4,0)&amp;"")</f>
        <v/>
      </c>
      <c r="F682" s="292" t="str">
        <f ca="1">IF(ISERROR($S682),"",OFFSET('Smelter Reference List'!$E$4,$S682-4,0))</f>
        <v/>
      </c>
      <c r="G682" s="292" t="str">
        <f ca="1">IF(C682=$U$4,"Enter smelter details", IF(ISERROR($S682),"",OFFSET('Smelter Reference List'!$F$4,$S682-4,0)))</f>
        <v/>
      </c>
      <c r="H682" s="293" t="str">
        <f ca="1">IF(ISERROR($S682),"",OFFSET('Smelter Reference List'!$G$4,$S682-4,0))</f>
        <v/>
      </c>
      <c r="I682" s="294" t="str">
        <f ca="1">IF(ISERROR($S682),"",OFFSET('Smelter Reference List'!$H$4,$S682-4,0))</f>
        <v/>
      </c>
      <c r="J682" s="294" t="str">
        <f ca="1">IF(ISERROR($S682),"",OFFSET('Smelter Reference List'!$I$4,$S682-4,0))</f>
        <v/>
      </c>
      <c r="K682" s="295"/>
      <c r="L682" s="295"/>
      <c r="M682" s="295"/>
      <c r="N682" s="295"/>
      <c r="O682" s="295"/>
      <c r="P682" s="295"/>
      <c r="Q682" s="296"/>
      <c r="R682" s="227"/>
      <c r="S682" s="228" t="e">
        <f>IF(C682="",NA(),MATCH($B682&amp;$C682,'Smelter Reference List'!$J:$J,0))</f>
        <v>#N/A</v>
      </c>
      <c r="T682" s="229"/>
      <c r="U682" s="229">
        <f t="shared" ca="1" si="22"/>
        <v>0</v>
      </c>
      <c r="V682" s="229"/>
      <c r="W682" s="229"/>
      <c r="Y682" s="223" t="str">
        <f t="shared" si="23"/>
        <v/>
      </c>
    </row>
    <row r="683" spans="1:25" s="223" customFormat="1" ht="20.25">
      <c r="A683" s="291"/>
      <c r="B683" s="292" t="str">
        <f>IF(LEN(A683)=0,"",INDEX('Smelter Reference List'!$A:$A,MATCH($A683,'Smelter Reference List'!$E:$E,0)))</f>
        <v/>
      </c>
      <c r="C683" s="298" t="str">
        <f>IF(LEN(A683)=0,"",INDEX('Smelter Reference List'!$C:$C,MATCH($A683,'Smelter Reference List'!$E:$E,0)))</f>
        <v/>
      </c>
      <c r="D683" s="292" t="str">
        <f ca="1">IF(ISERROR($S683),"",OFFSET('Smelter Reference List'!$C$4,$S683-4,0)&amp;"")</f>
        <v/>
      </c>
      <c r="E683" s="292" t="str">
        <f ca="1">IF(ISERROR($S683),"",OFFSET('Smelter Reference List'!$D$4,$S683-4,0)&amp;"")</f>
        <v/>
      </c>
      <c r="F683" s="292" t="str">
        <f ca="1">IF(ISERROR($S683),"",OFFSET('Smelter Reference List'!$E$4,$S683-4,0))</f>
        <v/>
      </c>
      <c r="G683" s="292" t="str">
        <f ca="1">IF(C683=$U$4,"Enter smelter details", IF(ISERROR($S683),"",OFFSET('Smelter Reference List'!$F$4,$S683-4,0)))</f>
        <v/>
      </c>
      <c r="H683" s="293" t="str">
        <f ca="1">IF(ISERROR($S683),"",OFFSET('Smelter Reference List'!$G$4,$S683-4,0))</f>
        <v/>
      </c>
      <c r="I683" s="294" t="str">
        <f ca="1">IF(ISERROR($S683),"",OFFSET('Smelter Reference List'!$H$4,$S683-4,0))</f>
        <v/>
      </c>
      <c r="J683" s="294" t="str">
        <f ca="1">IF(ISERROR($S683),"",OFFSET('Smelter Reference List'!$I$4,$S683-4,0))</f>
        <v/>
      </c>
      <c r="K683" s="295"/>
      <c r="L683" s="295"/>
      <c r="M683" s="295"/>
      <c r="N683" s="295"/>
      <c r="O683" s="295"/>
      <c r="P683" s="295"/>
      <c r="Q683" s="296"/>
      <c r="R683" s="227"/>
      <c r="S683" s="228" t="e">
        <f>IF(C683="",NA(),MATCH($B683&amp;$C683,'Smelter Reference List'!$J:$J,0))</f>
        <v>#N/A</v>
      </c>
      <c r="T683" s="229"/>
      <c r="U683" s="229">
        <f t="shared" ca="1" si="22"/>
        <v>0</v>
      </c>
      <c r="V683" s="229"/>
      <c r="W683" s="229"/>
      <c r="Y683" s="223" t="str">
        <f t="shared" si="23"/>
        <v/>
      </c>
    </row>
    <row r="684" spans="1:25" s="223" customFormat="1" ht="20.25">
      <c r="A684" s="291"/>
      <c r="B684" s="292" t="str">
        <f>IF(LEN(A684)=0,"",INDEX('Smelter Reference List'!$A:$A,MATCH($A684,'Smelter Reference List'!$E:$E,0)))</f>
        <v/>
      </c>
      <c r="C684" s="298" t="str">
        <f>IF(LEN(A684)=0,"",INDEX('Smelter Reference List'!$C:$C,MATCH($A684,'Smelter Reference List'!$E:$E,0)))</f>
        <v/>
      </c>
      <c r="D684" s="292" t="str">
        <f ca="1">IF(ISERROR($S684),"",OFFSET('Smelter Reference List'!$C$4,$S684-4,0)&amp;"")</f>
        <v/>
      </c>
      <c r="E684" s="292" t="str">
        <f ca="1">IF(ISERROR($S684),"",OFFSET('Smelter Reference List'!$D$4,$S684-4,0)&amp;"")</f>
        <v/>
      </c>
      <c r="F684" s="292" t="str">
        <f ca="1">IF(ISERROR($S684),"",OFFSET('Smelter Reference List'!$E$4,$S684-4,0))</f>
        <v/>
      </c>
      <c r="G684" s="292" t="str">
        <f ca="1">IF(C684=$U$4,"Enter smelter details", IF(ISERROR($S684),"",OFFSET('Smelter Reference List'!$F$4,$S684-4,0)))</f>
        <v/>
      </c>
      <c r="H684" s="293" t="str">
        <f ca="1">IF(ISERROR($S684),"",OFFSET('Smelter Reference List'!$G$4,$S684-4,0))</f>
        <v/>
      </c>
      <c r="I684" s="294" t="str">
        <f ca="1">IF(ISERROR($S684),"",OFFSET('Smelter Reference List'!$H$4,$S684-4,0))</f>
        <v/>
      </c>
      <c r="J684" s="294" t="str">
        <f ca="1">IF(ISERROR($S684),"",OFFSET('Smelter Reference List'!$I$4,$S684-4,0))</f>
        <v/>
      </c>
      <c r="K684" s="295"/>
      <c r="L684" s="295"/>
      <c r="M684" s="295"/>
      <c r="N684" s="295"/>
      <c r="O684" s="295"/>
      <c r="P684" s="295"/>
      <c r="Q684" s="296"/>
      <c r="R684" s="227"/>
      <c r="S684" s="228" t="e">
        <f>IF(C684="",NA(),MATCH($B684&amp;$C684,'Smelter Reference List'!$J:$J,0))</f>
        <v>#N/A</v>
      </c>
      <c r="T684" s="229"/>
      <c r="U684" s="229">
        <f t="shared" ca="1" si="22"/>
        <v>0</v>
      </c>
      <c r="V684" s="229"/>
      <c r="W684" s="229"/>
      <c r="Y684" s="223" t="str">
        <f t="shared" si="23"/>
        <v/>
      </c>
    </row>
    <row r="685" spans="1:25" s="223" customFormat="1" ht="20.25">
      <c r="A685" s="291"/>
      <c r="B685" s="292" t="str">
        <f>IF(LEN(A685)=0,"",INDEX('Smelter Reference List'!$A:$A,MATCH($A685,'Smelter Reference List'!$E:$E,0)))</f>
        <v/>
      </c>
      <c r="C685" s="298" t="str">
        <f>IF(LEN(A685)=0,"",INDEX('Smelter Reference List'!$C:$C,MATCH($A685,'Smelter Reference List'!$E:$E,0)))</f>
        <v/>
      </c>
      <c r="D685" s="292" t="str">
        <f ca="1">IF(ISERROR($S685),"",OFFSET('Smelter Reference List'!$C$4,$S685-4,0)&amp;"")</f>
        <v/>
      </c>
      <c r="E685" s="292" t="str">
        <f ca="1">IF(ISERROR($S685),"",OFFSET('Smelter Reference List'!$D$4,$S685-4,0)&amp;"")</f>
        <v/>
      </c>
      <c r="F685" s="292" t="str">
        <f ca="1">IF(ISERROR($S685),"",OFFSET('Smelter Reference List'!$E$4,$S685-4,0))</f>
        <v/>
      </c>
      <c r="G685" s="292" t="str">
        <f ca="1">IF(C685=$U$4,"Enter smelter details", IF(ISERROR($S685),"",OFFSET('Smelter Reference List'!$F$4,$S685-4,0)))</f>
        <v/>
      </c>
      <c r="H685" s="293" t="str">
        <f ca="1">IF(ISERROR($S685),"",OFFSET('Smelter Reference List'!$G$4,$S685-4,0))</f>
        <v/>
      </c>
      <c r="I685" s="294" t="str">
        <f ca="1">IF(ISERROR($S685),"",OFFSET('Smelter Reference List'!$H$4,$S685-4,0))</f>
        <v/>
      </c>
      <c r="J685" s="294" t="str">
        <f ca="1">IF(ISERROR($S685),"",OFFSET('Smelter Reference List'!$I$4,$S685-4,0))</f>
        <v/>
      </c>
      <c r="K685" s="295"/>
      <c r="L685" s="295"/>
      <c r="M685" s="295"/>
      <c r="N685" s="295"/>
      <c r="O685" s="295"/>
      <c r="P685" s="295"/>
      <c r="Q685" s="296"/>
      <c r="R685" s="227"/>
      <c r="S685" s="228" t="e">
        <f>IF(C685="",NA(),MATCH($B685&amp;$C685,'Smelter Reference List'!$J:$J,0))</f>
        <v>#N/A</v>
      </c>
      <c r="T685" s="229"/>
      <c r="U685" s="229">
        <f t="shared" ca="1" si="22"/>
        <v>0</v>
      </c>
      <c r="V685" s="229"/>
      <c r="W685" s="229"/>
      <c r="Y685" s="223" t="str">
        <f t="shared" si="23"/>
        <v/>
      </c>
    </row>
    <row r="686" spans="1:25" s="223" customFormat="1" ht="20.25">
      <c r="A686" s="291"/>
      <c r="B686" s="292" t="str">
        <f>IF(LEN(A686)=0,"",INDEX('Smelter Reference List'!$A:$A,MATCH($A686,'Smelter Reference List'!$E:$E,0)))</f>
        <v/>
      </c>
      <c r="C686" s="298" t="str">
        <f>IF(LEN(A686)=0,"",INDEX('Smelter Reference List'!$C:$C,MATCH($A686,'Smelter Reference List'!$E:$E,0)))</f>
        <v/>
      </c>
      <c r="D686" s="292" t="str">
        <f ca="1">IF(ISERROR($S686),"",OFFSET('Smelter Reference List'!$C$4,$S686-4,0)&amp;"")</f>
        <v/>
      </c>
      <c r="E686" s="292" t="str">
        <f ca="1">IF(ISERROR($S686),"",OFFSET('Smelter Reference List'!$D$4,$S686-4,0)&amp;"")</f>
        <v/>
      </c>
      <c r="F686" s="292" t="str">
        <f ca="1">IF(ISERROR($S686),"",OFFSET('Smelter Reference List'!$E$4,$S686-4,0))</f>
        <v/>
      </c>
      <c r="G686" s="292" t="str">
        <f ca="1">IF(C686=$U$4,"Enter smelter details", IF(ISERROR($S686),"",OFFSET('Smelter Reference List'!$F$4,$S686-4,0)))</f>
        <v/>
      </c>
      <c r="H686" s="293" t="str">
        <f ca="1">IF(ISERROR($S686),"",OFFSET('Smelter Reference List'!$G$4,$S686-4,0))</f>
        <v/>
      </c>
      <c r="I686" s="294" t="str">
        <f ca="1">IF(ISERROR($S686),"",OFFSET('Smelter Reference List'!$H$4,$S686-4,0))</f>
        <v/>
      </c>
      <c r="J686" s="294" t="str">
        <f ca="1">IF(ISERROR($S686),"",OFFSET('Smelter Reference List'!$I$4,$S686-4,0))</f>
        <v/>
      </c>
      <c r="K686" s="295"/>
      <c r="L686" s="295"/>
      <c r="M686" s="295"/>
      <c r="N686" s="295"/>
      <c r="O686" s="295"/>
      <c r="P686" s="295"/>
      <c r="Q686" s="296"/>
      <c r="R686" s="227"/>
      <c r="S686" s="228" t="e">
        <f>IF(C686="",NA(),MATCH($B686&amp;$C686,'Smelter Reference List'!$J:$J,0))</f>
        <v>#N/A</v>
      </c>
      <c r="T686" s="229"/>
      <c r="U686" s="229">
        <f t="shared" ca="1" si="22"/>
        <v>0</v>
      </c>
      <c r="V686" s="229"/>
      <c r="W686" s="229"/>
      <c r="Y686" s="223" t="str">
        <f t="shared" si="23"/>
        <v/>
      </c>
    </row>
    <row r="687" spans="1:25" s="223" customFormat="1" ht="20.25">
      <c r="A687" s="291"/>
      <c r="B687" s="292" t="str">
        <f>IF(LEN(A687)=0,"",INDEX('Smelter Reference List'!$A:$A,MATCH($A687,'Smelter Reference List'!$E:$E,0)))</f>
        <v/>
      </c>
      <c r="C687" s="298" t="str">
        <f>IF(LEN(A687)=0,"",INDEX('Smelter Reference List'!$C:$C,MATCH($A687,'Smelter Reference List'!$E:$E,0)))</f>
        <v/>
      </c>
      <c r="D687" s="292" t="str">
        <f ca="1">IF(ISERROR($S687),"",OFFSET('Smelter Reference List'!$C$4,$S687-4,0)&amp;"")</f>
        <v/>
      </c>
      <c r="E687" s="292" t="str">
        <f ca="1">IF(ISERROR($S687),"",OFFSET('Smelter Reference List'!$D$4,$S687-4,0)&amp;"")</f>
        <v/>
      </c>
      <c r="F687" s="292" t="str">
        <f ca="1">IF(ISERROR($S687),"",OFFSET('Smelter Reference List'!$E$4,$S687-4,0))</f>
        <v/>
      </c>
      <c r="G687" s="292" t="str">
        <f ca="1">IF(C687=$U$4,"Enter smelter details", IF(ISERROR($S687),"",OFFSET('Smelter Reference List'!$F$4,$S687-4,0)))</f>
        <v/>
      </c>
      <c r="H687" s="293" t="str">
        <f ca="1">IF(ISERROR($S687),"",OFFSET('Smelter Reference List'!$G$4,$S687-4,0))</f>
        <v/>
      </c>
      <c r="I687" s="294" t="str">
        <f ca="1">IF(ISERROR($S687),"",OFFSET('Smelter Reference List'!$H$4,$S687-4,0))</f>
        <v/>
      </c>
      <c r="J687" s="294" t="str">
        <f ca="1">IF(ISERROR($S687),"",OFFSET('Smelter Reference List'!$I$4,$S687-4,0))</f>
        <v/>
      </c>
      <c r="K687" s="295"/>
      <c r="L687" s="295"/>
      <c r="M687" s="295"/>
      <c r="N687" s="295"/>
      <c r="O687" s="295"/>
      <c r="P687" s="295"/>
      <c r="Q687" s="296"/>
      <c r="R687" s="227"/>
      <c r="S687" s="228" t="e">
        <f>IF(C687="",NA(),MATCH($B687&amp;$C687,'Smelter Reference List'!$J:$J,0))</f>
        <v>#N/A</v>
      </c>
      <c r="T687" s="229"/>
      <c r="U687" s="229">
        <f t="shared" ca="1" si="22"/>
        <v>0</v>
      </c>
      <c r="V687" s="229"/>
      <c r="W687" s="229"/>
      <c r="Y687" s="223" t="str">
        <f t="shared" si="23"/>
        <v/>
      </c>
    </row>
    <row r="688" spans="1:25" s="223" customFormat="1" ht="20.25">
      <c r="A688" s="291"/>
      <c r="B688" s="292" t="str">
        <f>IF(LEN(A688)=0,"",INDEX('Smelter Reference List'!$A:$A,MATCH($A688,'Smelter Reference List'!$E:$E,0)))</f>
        <v/>
      </c>
      <c r="C688" s="298" t="str">
        <f>IF(LEN(A688)=0,"",INDEX('Smelter Reference List'!$C:$C,MATCH($A688,'Smelter Reference List'!$E:$E,0)))</f>
        <v/>
      </c>
      <c r="D688" s="292" t="str">
        <f ca="1">IF(ISERROR($S688),"",OFFSET('Smelter Reference List'!$C$4,$S688-4,0)&amp;"")</f>
        <v/>
      </c>
      <c r="E688" s="292" t="str">
        <f ca="1">IF(ISERROR($S688),"",OFFSET('Smelter Reference List'!$D$4,$S688-4,0)&amp;"")</f>
        <v/>
      </c>
      <c r="F688" s="292" t="str">
        <f ca="1">IF(ISERROR($S688),"",OFFSET('Smelter Reference List'!$E$4,$S688-4,0))</f>
        <v/>
      </c>
      <c r="G688" s="292" t="str">
        <f ca="1">IF(C688=$U$4,"Enter smelter details", IF(ISERROR($S688),"",OFFSET('Smelter Reference List'!$F$4,$S688-4,0)))</f>
        <v/>
      </c>
      <c r="H688" s="293" t="str">
        <f ca="1">IF(ISERROR($S688),"",OFFSET('Smelter Reference List'!$G$4,$S688-4,0))</f>
        <v/>
      </c>
      <c r="I688" s="294" t="str">
        <f ca="1">IF(ISERROR($S688),"",OFFSET('Smelter Reference List'!$H$4,$S688-4,0))</f>
        <v/>
      </c>
      <c r="J688" s="294" t="str">
        <f ca="1">IF(ISERROR($S688),"",OFFSET('Smelter Reference List'!$I$4,$S688-4,0))</f>
        <v/>
      </c>
      <c r="K688" s="295"/>
      <c r="L688" s="295"/>
      <c r="M688" s="295"/>
      <c r="N688" s="295"/>
      <c r="O688" s="295"/>
      <c r="P688" s="295"/>
      <c r="Q688" s="296"/>
      <c r="R688" s="227"/>
      <c r="S688" s="228" t="e">
        <f>IF(C688="",NA(),MATCH($B688&amp;$C688,'Smelter Reference List'!$J:$J,0))</f>
        <v>#N/A</v>
      </c>
      <c r="T688" s="229"/>
      <c r="U688" s="229">
        <f t="shared" ca="1" si="22"/>
        <v>0</v>
      </c>
      <c r="V688" s="229"/>
      <c r="W688" s="229"/>
      <c r="Y688" s="223" t="str">
        <f t="shared" si="23"/>
        <v/>
      </c>
    </row>
    <row r="689" spans="1:25" s="223" customFormat="1" ht="20.25">
      <c r="A689" s="291"/>
      <c r="B689" s="292" t="str">
        <f>IF(LEN(A689)=0,"",INDEX('Smelter Reference List'!$A:$A,MATCH($A689,'Smelter Reference List'!$E:$E,0)))</f>
        <v/>
      </c>
      <c r="C689" s="298" t="str">
        <f>IF(LEN(A689)=0,"",INDEX('Smelter Reference List'!$C:$C,MATCH($A689,'Smelter Reference List'!$E:$E,0)))</f>
        <v/>
      </c>
      <c r="D689" s="292" t="str">
        <f ca="1">IF(ISERROR($S689),"",OFFSET('Smelter Reference List'!$C$4,$S689-4,0)&amp;"")</f>
        <v/>
      </c>
      <c r="E689" s="292" t="str">
        <f ca="1">IF(ISERROR($S689),"",OFFSET('Smelter Reference List'!$D$4,$S689-4,0)&amp;"")</f>
        <v/>
      </c>
      <c r="F689" s="292" t="str">
        <f ca="1">IF(ISERROR($S689),"",OFFSET('Smelter Reference List'!$E$4,$S689-4,0))</f>
        <v/>
      </c>
      <c r="G689" s="292" t="str">
        <f ca="1">IF(C689=$U$4,"Enter smelter details", IF(ISERROR($S689),"",OFFSET('Smelter Reference List'!$F$4,$S689-4,0)))</f>
        <v/>
      </c>
      <c r="H689" s="293" t="str">
        <f ca="1">IF(ISERROR($S689),"",OFFSET('Smelter Reference List'!$G$4,$S689-4,0))</f>
        <v/>
      </c>
      <c r="I689" s="294" t="str">
        <f ca="1">IF(ISERROR($S689),"",OFFSET('Smelter Reference List'!$H$4,$S689-4,0))</f>
        <v/>
      </c>
      <c r="J689" s="294" t="str">
        <f ca="1">IF(ISERROR($S689),"",OFFSET('Smelter Reference List'!$I$4,$S689-4,0))</f>
        <v/>
      </c>
      <c r="K689" s="295"/>
      <c r="L689" s="295"/>
      <c r="M689" s="295"/>
      <c r="N689" s="295"/>
      <c r="O689" s="295"/>
      <c r="P689" s="295"/>
      <c r="Q689" s="296"/>
      <c r="R689" s="227"/>
      <c r="S689" s="228" t="e">
        <f>IF(C689="",NA(),MATCH($B689&amp;$C689,'Smelter Reference List'!$J:$J,0))</f>
        <v>#N/A</v>
      </c>
      <c r="T689" s="229"/>
      <c r="U689" s="229">
        <f t="shared" ca="1" si="22"/>
        <v>0</v>
      </c>
      <c r="V689" s="229"/>
      <c r="W689" s="229"/>
      <c r="Y689" s="223" t="str">
        <f t="shared" si="23"/>
        <v/>
      </c>
    </row>
    <row r="690" spans="1:25" s="223" customFormat="1" ht="20.25">
      <c r="A690" s="291"/>
      <c r="B690" s="292" t="str">
        <f>IF(LEN(A690)=0,"",INDEX('Smelter Reference List'!$A:$A,MATCH($A690,'Smelter Reference List'!$E:$E,0)))</f>
        <v/>
      </c>
      <c r="C690" s="298" t="str">
        <f>IF(LEN(A690)=0,"",INDEX('Smelter Reference List'!$C:$C,MATCH($A690,'Smelter Reference List'!$E:$E,0)))</f>
        <v/>
      </c>
      <c r="D690" s="292" t="str">
        <f ca="1">IF(ISERROR($S690),"",OFFSET('Smelter Reference List'!$C$4,$S690-4,0)&amp;"")</f>
        <v/>
      </c>
      <c r="E690" s="292" t="str">
        <f ca="1">IF(ISERROR($S690),"",OFFSET('Smelter Reference List'!$D$4,$S690-4,0)&amp;"")</f>
        <v/>
      </c>
      <c r="F690" s="292" t="str">
        <f ca="1">IF(ISERROR($S690),"",OFFSET('Smelter Reference List'!$E$4,$S690-4,0))</f>
        <v/>
      </c>
      <c r="G690" s="292" t="str">
        <f ca="1">IF(C690=$U$4,"Enter smelter details", IF(ISERROR($S690),"",OFFSET('Smelter Reference List'!$F$4,$S690-4,0)))</f>
        <v/>
      </c>
      <c r="H690" s="293" t="str">
        <f ca="1">IF(ISERROR($S690),"",OFFSET('Smelter Reference List'!$G$4,$S690-4,0))</f>
        <v/>
      </c>
      <c r="I690" s="294" t="str">
        <f ca="1">IF(ISERROR($S690),"",OFFSET('Smelter Reference List'!$H$4,$S690-4,0))</f>
        <v/>
      </c>
      <c r="J690" s="294" t="str">
        <f ca="1">IF(ISERROR($S690),"",OFFSET('Smelter Reference List'!$I$4,$S690-4,0))</f>
        <v/>
      </c>
      <c r="K690" s="295"/>
      <c r="L690" s="295"/>
      <c r="M690" s="295"/>
      <c r="N690" s="295"/>
      <c r="O690" s="295"/>
      <c r="P690" s="295"/>
      <c r="Q690" s="296"/>
      <c r="R690" s="227"/>
      <c r="S690" s="228" t="e">
        <f>IF(C690="",NA(),MATCH($B690&amp;$C690,'Smelter Reference List'!$J:$J,0))</f>
        <v>#N/A</v>
      </c>
      <c r="T690" s="229"/>
      <c r="U690" s="229">
        <f t="shared" ca="1" si="22"/>
        <v>0</v>
      </c>
      <c r="V690" s="229"/>
      <c r="W690" s="229"/>
      <c r="Y690" s="223" t="str">
        <f t="shared" si="23"/>
        <v/>
      </c>
    </row>
    <row r="691" spans="1:25" s="223" customFormat="1" ht="20.25">
      <c r="A691" s="291"/>
      <c r="B691" s="292" t="str">
        <f>IF(LEN(A691)=0,"",INDEX('Smelter Reference List'!$A:$A,MATCH($A691,'Smelter Reference List'!$E:$E,0)))</f>
        <v/>
      </c>
      <c r="C691" s="298" t="str">
        <f>IF(LEN(A691)=0,"",INDEX('Smelter Reference List'!$C:$C,MATCH($A691,'Smelter Reference List'!$E:$E,0)))</f>
        <v/>
      </c>
      <c r="D691" s="292" t="str">
        <f ca="1">IF(ISERROR($S691),"",OFFSET('Smelter Reference List'!$C$4,$S691-4,0)&amp;"")</f>
        <v/>
      </c>
      <c r="E691" s="292" t="str">
        <f ca="1">IF(ISERROR($S691),"",OFFSET('Smelter Reference List'!$D$4,$S691-4,0)&amp;"")</f>
        <v/>
      </c>
      <c r="F691" s="292" t="str">
        <f ca="1">IF(ISERROR($S691),"",OFFSET('Smelter Reference List'!$E$4,$S691-4,0))</f>
        <v/>
      </c>
      <c r="G691" s="292" t="str">
        <f ca="1">IF(C691=$U$4,"Enter smelter details", IF(ISERROR($S691),"",OFFSET('Smelter Reference List'!$F$4,$S691-4,0)))</f>
        <v/>
      </c>
      <c r="H691" s="293" t="str">
        <f ca="1">IF(ISERROR($S691),"",OFFSET('Smelter Reference List'!$G$4,$S691-4,0))</f>
        <v/>
      </c>
      <c r="I691" s="294" t="str">
        <f ca="1">IF(ISERROR($S691),"",OFFSET('Smelter Reference List'!$H$4,$S691-4,0))</f>
        <v/>
      </c>
      <c r="J691" s="294" t="str">
        <f ca="1">IF(ISERROR($S691),"",OFFSET('Smelter Reference List'!$I$4,$S691-4,0))</f>
        <v/>
      </c>
      <c r="K691" s="295"/>
      <c r="L691" s="295"/>
      <c r="M691" s="295"/>
      <c r="N691" s="295"/>
      <c r="O691" s="295"/>
      <c r="P691" s="295"/>
      <c r="Q691" s="296"/>
      <c r="R691" s="227"/>
      <c r="S691" s="228" t="e">
        <f>IF(C691="",NA(),MATCH($B691&amp;$C691,'Smelter Reference List'!$J:$J,0))</f>
        <v>#N/A</v>
      </c>
      <c r="T691" s="229"/>
      <c r="U691" s="229">
        <f t="shared" ca="1" si="22"/>
        <v>0</v>
      </c>
      <c r="V691" s="229"/>
      <c r="W691" s="229"/>
      <c r="Y691" s="223" t="str">
        <f t="shared" si="23"/>
        <v/>
      </c>
    </row>
    <row r="692" spans="1:25" s="223" customFormat="1" ht="20.25">
      <c r="A692" s="291"/>
      <c r="B692" s="292" t="str">
        <f>IF(LEN(A692)=0,"",INDEX('Smelter Reference List'!$A:$A,MATCH($A692,'Smelter Reference List'!$E:$E,0)))</f>
        <v/>
      </c>
      <c r="C692" s="298" t="str">
        <f>IF(LEN(A692)=0,"",INDEX('Smelter Reference List'!$C:$C,MATCH($A692,'Smelter Reference List'!$E:$E,0)))</f>
        <v/>
      </c>
      <c r="D692" s="292" t="str">
        <f ca="1">IF(ISERROR($S692),"",OFFSET('Smelter Reference List'!$C$4,$S692-4,0)&amp;"")</f>
        <v/>
      </c>
      <c r="E692" s="292" t="str">
        <f ca="1">IF(ISERROR($S692),"",OFFSET('Smelter Reference List'!$D$4,$S692-4,0)&amp;"")</f>
        <v/>
      </c>
      <c r="F692" s="292" t="str">
        <f ca="1">IF(ISERROR($S692),"",OFFSET('Smelter Reference List'!$E$4,$S692-4,0))</f>
        <v/>
      </c>
      <c r="G692" s="292" t="str">
        <f ca="1">IF(C692=$U$4,"Enter smelter details", IF(ISERROR($S692),"",OFFSET('Smelter Reference List'!$F$4,$S692-4,0)))</f>
        <v/>
      </c>
      <c r="H692" s="293" t="str">
        <f ca="1">IF(ISERROR($S692),"",OFFSET('Smelter Reference List'!$G$4,$S692-4,0))</f>
        <v/>
      </c>
      <c r="I692" s="294" t="str">
        <f ca="1">IF(ISERROR($S692),"",OFFSET('Smelter Reference List'!$H$4,$S692-4,0))</f>
        <v/>
      </c>
      <c r="J692" s="294" t="str">
        <f ca="1">IF(ISERROR($S692),"",OFFSET('Smelter Reference List'!$I$4,$S692-4,0))</f>
        <v/>
      </c>
      <c r="K692" s="295"/>
      <c r="L692" s="295"/>
      <c r="M692" s="295"/>
      <c r="N692" s="295"/>
      <c r="O692" s="295"/>
      <c r="P692" s="295"/>
      <c r="Q692" s="296"/>
      <c r="R692" s="227"/>
      <c r="S692" s="228" t="e">
        <f>IF(C692="",NA(),MATCH($B692&amp;$C692,'Smelter Reference List'!$J:$J,0))</f>
        <v>#N/A</v>
      </c>
      <c r="T692" s="229"/>
      <c r="U692" s="229">
        <f t="shared" ca="1" si="22"/>
        <v>0</v>
      </c>
      <c r="V692" s="229"/>
      <c r="W692" s="229"/>
      <c r="Y692" s="223" t="str">
        <f t="shared" si="23"/>
        <v/>
      </c>
    </row>
    <row r="693" spans="1:25" s="223" customFormat="1" ht="20.25">
      <c r="A693" s="291"/>
      <c r="B693" s="292" t="str">
        <f>IF(LEN(A693)=0,"",INDEX('Smelter Reference List'!$A:$A,MATCH($A693,'Smelter Reference List'!$E:$E,0)))</f>
        <v/>
      </c>
      <c r="C693" s="298" t="str">
        <f>IF(LEN(A693)=0,"",INDEX('Smelter Reference List'!$C:$C,MATCH($A693,'Smelter Reference List'!$E:$E,0)))</f>
        <v/>
      </c>
      <c r="D693" s="292" t="str">
        <f ca="1">IF(ISERROR($S693),"",OFFSET('Smelter Reference List'!$C$4,$S693-4,0)&amp;"")</f>
        <v/>
      </c>
      <c r="E693" s="292" t="str">
        <f ca="1">IF(ISERROR($S693),"",OFFSET('Smelter Reference List'!$D$4,$S693-4,0)&amp;"")</f>
        <v/>
      </c>
      <c r="F693" s="292" t="str">
        <f ca="1">IF(ISERROR($S693),"",OFFSET('Smelter Reference List'!$E$4,$S693-4,0))</f>
        <v/>
      </c>
      <c r="G693" s="292" t="str">
        <f ca="1">IF(C693=$U$4,"Enter smelter details", IF(ISERROR($S693),"",OFFSET('Smelter Reference List'!$F$4,$S693-4,0)))</f>
        <v/>
      </c>
      <c r="H693" s="293" t="str">
        <f ca="1">IF(ISERROR($S693),"",OFFSET('Smelter Reference List'!$G$4,$S693-4,0))</f>
        <v/>
      </c>
      <c r="I693" s="294" t="str">
        <f ca="1">IF(ISERROR($S693),"",OFFSET('Smelter Reference List'!$H$4,$S693-4,0))</f>
        <v/>
      </c>
      <c r="J693" s="294" t="str">
        <f ca="1">IF(ISERROR($S693),"",OFFSET('Smelter Reference List'!$I$4,$S693-4,0))</f>
        <v/>
      </c>
      <c r="K693" s="295"/>
      <c r="L693" s="295"/>
      <c r="M693" s="295"/>
      <c r="N693" s="295"/>
      <c r="O693" s="295"/>
      <c r="P693" s="295"/>
      <c r="Q693" s="296"/>
      <c r="R693" s="227"/>
      <c r="S693" s="228" t="e">
        <f>IF(C693="",NA(),MATCH($B693&amp;$C693,'Smelter Reference List'!$J:$J,0))</f>
        <v>#N/A</v>
      </c>
      <c r="T693" s="229"/>
      <c r="U693" s="229">
        <f t="shared" ca="1" si="22"/>
        <v>0</v>
      </c>
      <c r="V693" s="229"/>
      <c r="W693" s="229"/>
      <c r="Y693" s="223" t="str">
        <f t="shared" si="23"/>
        <v/>
      </c>
    </row>
    <row r="694" spans="1:25" s="223" customFormat="1" ht="20.25">
      <c r="A694" s="291"/>
      <c r="B694" s="292" t="str">
        <f>IF(LEN(A694)=0,"",INDEX('Smelter Reference List'!$A:$A,MATCH($A694,'Smelter Reference List'!$E:$E,0)))</f>
        <v/>
      </c>
      <c r="C694" s="298" t="str">
        <f>IF(LEN(A694)=0,"",INDEX('Smelter Reference List'!$C:$C,MATCH($A694,'Smelter Reference List'!$E:$E,0)))</f>
        <v/>
      </c>
      <c r="D694" s="292" t="str">
        <f ca="1">IF(ISERROR($S694),"",OFFSET('Smelter Reference List'!$C$4,$S694-4,0)&amp;"")</f>
        <v/>
      </c>
      <c r="E694" s="292" t="str">
        <f ca="1">IF(ISERROR($S694),"",OFFSET('Smelter Reference List'!$D$4,$S694-4,0)&amp;"")</f>
        <v/>
      </c>
      <c r="F694" s="292" t="str">
        <f ca="1">IF(ISERROR($S694),"",OFFSET('Smelter Reference List'!$E$4,$S694-4,0))</f>
        <v/>
      </c>
      <c r="G694" s="292" t="str">
        <f ca="1">IF(C694=$U$4,"Enter smelter details", IF(ISERROR($S694),"",OFFSET('Smelter Reference List'!$F$4,$S694-4,0)))</f>
        <v/>
      </c>
      <c r="H694" s="293" t="str">
        <f ca="1">IF(ISERROR($S694),"",OFFSET('Smelter Reference List'!$G$4,$S694-4,0))</f>
        <v/>
      </c>
      <c r="I694" s="294" t="str">
        <f ca="1">IF(ISERROR($S694),"",OFFSET('Smelter Reference List'!$H$4,$S694-4,0))</f>
        <v/>
      </c>
      <c r="J694" s="294" t="str">
        <f ca="1">IF(ISERROR($S694),"",OFFSET('Smelter Reference List'!$I$4,$S694-4,0))</f>
        <v/>
      </c>
      <c r="K694" s="295"/>
      <c r="L694" s="295"/>
      <c r="M694" s="295"/>
      <c r="N694" s="295"/>
      <c r="O694" s="295"/>
      <c r="P694" s="295"/>
      <c r="Q694" s="296"/>
      <c r="R694" s="227"/>
      <c r="S694" s="228" t="e">
        <f>IF(C694="",NA(),MATCH($B694&amp;$C694,'Smelter Reference List'!$J:$J,0))</f>
        <v>#N/A</v>
      </c>
      <c r="T694" s="229"/>
      <c r="U694" s="229">
        <f t="shared" ca="1" si="22"/>
        <v>0</v>
      </c>
      <c r="V694" s="229"/>
      <c r="W694" s="229"/>
      <c r="Y694" s="223" t="str">
        <f t="shared" si="23"/>
        <v/>
      </c>
    </row>
    <row r="695" spans="1:25" s="223" customFormat="1" ht="20.25">
      <c r="A695" s="291"/>
      <c r="B695" s="292" t="str">
        <f>IF(LEN(A695)=0,"",INDEX('Smelter Reference List'!$A:$A,MATCH($A695,'Smelter Reference List'!$E:$E,0)))</f>
        <v/>
      </c>
      <c r="C695" s="298" t="str">
        <f>IF(LEN(A695)=0,"",INDEX('Smelter Reference List'!$C:$C,MATCH($A695,'Smelter Reference List'!$E:$E,0)))</f>
        <v/>
      </c>
      <c r="D695" s="292" t="str">
        <f ca="1">IF(ISERROR($S695),"",OFFSET('Smelter Reference List'!$C$4,$S695-4,0)&amp;"")</f>
        <v/>
      </c>
      <c r="E695" s="292" t="str">
        <f ca="1">IF(ISERROR($S695),"",OFFSET('Smelter Reference List'!$D$4,$S695-4,0)&amp;"")</f>
        <v/>
      </c>
      <c r="F695" s="292" t="str">
        <f ca="1">IF(ISERROR($S695),"",OFFSET('Smelter Reference List'!$E$4,$S695-4,0))</f>
        <v/>
      </c>
      <c r="G695" s="292" t="str">
        <f ca="1">IF(C695=$U$4,"Enter smelter details", IF(ISERROR($S695),"",OFFSET('Smelter Reference List'!$F$4,$S695-4,0)))</f>
        <v/>
      </c>
      <c r="H695" s="293" t="str">
        <f ca="1">IF(ISERROR($S695),"",OFFSET('Smelter Reference List'!$G$4,$S695-4,0))</f>
        <v/>
      </c>
      <c r="I695" s="294" t="str">
        <f ca="1">IF(ISERROR($S695),"",OFFSET('Smelter Reference List'!$H$4,$S695-4,0))</f>
        <v/>
      </c>
      <c r="J695" s="294" t="str">
        <f ca="1">IF(ISERROR($S695),"",OFFSET('Smelter Reference List'!$I$4,$S695-4,0))</f>
        <v/>
      </c>
      <c r="K695" s="295"/>
      <c r="L695" s="295"/>
      <c r="M695" s="295"/>
      <c r="N695" s="295"/>
      <c r="O695" s="295"/>
      <c r="P695" s="295"/>
      <c r="Q695" s="296"/>
      <c r="R695" s="227"/>
      <c r="S695" s="228" t="e">
        <f>IF(C695="",NA(),MATCH($B695&amp;$C695,'Smelter Reference List'!$J:$J,0))</f>
        <v>#N/A</v>
      </c>
      <c r="T695" s="229"/>
      <c r="U695" s="229">
        <f t="shared" ca="1" si="22"/>
        <v>0</v>
      </c>
      <c r="V695" s="229"/>
      <c r="W695" s="229"/>
      <c r="Y695" s="223" t="str">
        <f t="shared" si="23"/>
        <v/>
      </c>
    </row>
    <row r="696" spans="1:25" s="223" customFormat="1" ht="20.25">
      <c r="A696" s="291"/>
      <c r="B696" s="292" t="str">
        <f>IF(LEN(A696)=0,"",INDEX('Smelter Reference List'!$A:$A,MATCH($A696,'Smelter Reference List'!$E:$E,0)))</f>
        <v/>
      </c>
      <c r="C696" s="298" t="str">
        <f>IF(LEN(A696)=0,"",INDEX('Smelter Reference List'!$C:$C,MATCH($A696,'Smelter Reference List'!$E:$E,0)))</f>
        <v/>
      </c>
      <c r="D696" s="292" t="str">
        <f ca="1">IF(ISERROR($S696),"",OFFSET('Smelter Reference List'!$C$4,$S696-4,0)&amp;"")</f>
        <v/>
      </c>
      <c r="E696" s="292" t="str">
        <f ca="1">IF(ISERROR($S696),"",OFFSET('Smelter Reference List'!$D$4,$S696-4,0)&amp;"")</f>
        <v/>
      </c>
      <c r="F696" s="292" t="str">
        <f ca="1">IF(ISERROR($S696),"",OFFSET('Smelter Reference List'!$E$4,$S696-4,0))</f>
        <v/>
      </c>
      <c r="G696" s="292" t="str">
        <f ca="1">IF(C696=$U$4,"Enter smelter details", IF(ISERROR($S696),"",OFFSET('Smelter Reference List'!$F$4,$S696-4,0)))</f>
        <v/>
      </c>
      <c r="H696" s="293" t="str">
        <f ca="1">IF(ISERROR($S696),"",OFFSET('Smelter Reference List'!$G$4,$S696-4,0))</f>
        <v/>
      </c>
      <c r="I696" s="294" t="str">
        <f ca="1">IF(ISERROR($S696),"",OFFSET('Smelter Reference List'!$H$4,$S696-4,0))</f>
        <v/>
      </c>
      <c r="J696" s="294" t="str">
        <f ca="1">IF(ISERROR($S696),"",OFFSET('Smelter Reference List'!$I$4,$S696-4,0))</f>
        <v/>
      </c>
      <c r="K696" s="295"/>
      <c r="L696" s="295"/>
      <c r="M696" s="295"/>
      <c r="N696" s="295"/>
      <c r="O696" s="295"/>
      <c r="P696" s="295"/>
      <c r="Q696" s="296"/>
      <c r="R696" s="227"/>
      <c r="S696" s="228" t="e">
        <f>IF(C696="",NA(),MATCH($B696&amp;$C696,'Smelter Reference List'!$J:$J,0))</f>
        <v>#N/A</v>
      </c>
      <c r="T696" s="229"/>
      <c r="U696" s="229">
        <f t="shared" ca="1" si="22"/>
        <v>0</v>
      </c>
      <c r="V696" s="229"/>
      <c r="W696" s="229"/>
      <c r="Y696" s="223" t="str">
        <f t="shared" si="23"/>
        <v/>
      </c>
    </row>
    <row r="697" spans="1:25" s="223" customFormat="1" ht="20.25">
      <c r="A697" s="291"/>
      <c r="B697" s="292" t="str">
        <f>IF(LEN(A697)=0,"",INDEX('Smelter Reference List'!$A:$A,MATCH($A697,'Smelter Reference List'!$E:$E,0)))</f>
        <v/>
      </c>
      <c r="C697" s="298" t="str">
        <f>IF(LEN(A697)=0,"",INDEX('Smelter Reference List'!$C:$C,MATCH($A697,'Smelter Reference List'!$E:$E,0)))</f>
        <v/>
      </c>
      <c r="D697" s="292" t="str">
        <f ca="1">IF(ISERROR($S697),"",OFFSET('Smelter Reference List'!$C$4,$S697-4,0)&amp;"")</f>
        <v/>
      </c>
      <c r="E697" s="292" t="str">
        <f ca="1">IF(ISERROR($S697),"",OFFSET('Smelter Reference List'!$D$4,$S697-4,0)&amp;"")</f>
        <v/>
      </c>
      <c r="F697" s="292" t="str">
        <f ca="1">IF(ISERROR($S697),"",OFFSET('Smelter Reference List'!$E$4,$S697-4,0))</f>
        <v/>
      </c>
      <c r="G697" s="292" t="str">
        <f ca="1">IF(C697=$U$4,"Enter smelter details", IF(ISERROR($S697),"",OFFSET('Smelter Reference List'!$F$4,$S697-4,0)))</f>
        <v/>
      </c>
      <c r="H697" s="293" t="str">
        <f ca="1">IF(ISERROR($S697),"",OFFSET('Smelter Reference List'!$G$4,$S697-4,0))</f>
        <v/>
      </c>
      <c r="I697" s="294" t="str">
        <f ca="1">IF(ISERROR($S697),"",OFFSET('Smelter Reference List'!$H$4,$S697-4,0))</f>
        <v/>
      </c>
      <c r="J697" s="294" t="str">
        <f ca="1">IF(ISERROR($S697),"",OFFSET('Smelter Reference List'!$I$4,$S697-4,0))</f>
        <v/>
      </c>
      <c r="K697" s="295"/>
      <c r="L697" s="295"/>
      <c r="M697" s="295"/>
      <c r="N697" s="295"/>
      <c r="O697" s="295"/>
      <c r="P697" s="295"/>
      <c r="Q697" s="296"/>
      <c r="R697" s="227"/>
      <c r="S697" s="228" t="e">
        <f>IF(C697="",NA(),MATCH($B697&amp;$C697,'Smelter Reference List'!$J:$J,0))</f>
        <v>#N/A</v>
      </c>
      <c r="T697" s="229"/>
      <c r="U697" s="229">
        <f t="shared" ca="1" si="22"/>
        <v>0</v>
      </c>
      <c r="V697" s="229"/>
      <c r="W697" s="229"/>
      <c r="Y697" s="223" t="str">
        <f t="shared" si="23"/>
        <v/>
      </c>
    </row>
    <row r="698" spans="1:25" s="223" customFormat="1" ht="20.25">
      <c r="A698" s="291"/>
      <c r="B698" s="292" t="str">
        <f>IF(LEN(A698)=0,"",INDEX('Smelter Reference List'!$A:$A,MATCH($A698,'Smelter Reference List'!$E:$E,0)))</f>
        <v/>
      </c>
      <c r="C698" s="298" t="str">
        <f>IF(LEN(A698)=0,"",INDEX('Smelter Reference List'!$C:$C,MATCH($A698,'Smelter Reference List'!$E:$E,0)))</f>
        <v/>
      </c>
      <c r="D698" s="292" t="str">
        <f ca="1">IF(ISERROR($S698),"",OFFSET('Smelter Reference List'!$C$4,$S698-4,0)&amp;"")</f>
        <v/>
      </c>
      <c r="E698" s="292" t="str">
        <f ca="1">IF(ISERROR($S698),"",OFFSET('Smelter Reference List'!$D$4,$S698-4,0)&amp;"")</f>
        <v/>
      </c>
      <c r="F698" s="292" t="str">
        <f ca="1">IF(ISERROR($S698),"",OFFSET('Smelter Reference List'!$E$4,$S698-4,0))</f>
        <v/>
      </c>
      <c r="G698" s="292" t="str">
        <f ca="1">IF(C698=$U$4,"Enter smelter details", IF(ISERROR($S698),"",OFFSET('Smelter Reference List'!$F$4,$S698-4,0)))</f>
        <v/>
      </c>
      <c r="H698" s="293" t="str">
        <f ca="1">IF(ISERROR($S698),"",OFFSET('Smelter Reference List'!$G$4,$S698-4,0))</f>
        <v/>
      </c>
      <c r="I698" s="294" t="str">
        <f ca="1">IF(ISERROR($S698),"",OFFSET('Smelter Reference List'!$H$4,$S698-4,0))</f>
        <v/>
      </c>
      <c r="J698" s="294" t="str">
        <f ca="1">IF(ISERROR($S698),"",OFFSET('Smelter Reference List'!$I$4,$S698-4,0))</f>
        <v/>
      </c>
      <c r="K698" s="295"/>
      <c r="L698" s="295"/>
      <c r="M698" s="295"/>
      <c r="N698" s="295"/>
      <c r="O698" s="295"/>
      <c r="P698" s="295"/>
      <c r="Q698" s="296"/>
      <c r="R698" s="227"/>
      <c r="S698" s="228" t="e">
        <f>IF(C698="",NA(),MATCH($B698&amp;$C698,'Smelter Reference List'!$J:$J,0))</f>
        <v>#N/A</v>
      </c>
      <c r="T698" s="229"/>
      <c r="U698" s="229">
        <f t="shared" ca="1" si="22"/>
        <v>0</v>
      </c>
      <c r="V698" s="229"/>
      <c r="W698" s="229"/>
      <c r="Y698" s="223" t="str">
        <f t="shared" si="23"/>
        <v/>
      </c>
    </row>
    <row r="699" spans="1:25" s="223" customFormat="1" ht="20.25">
      <c r="A699" s="291"/>
      <c r="B699" s="292" t="str">
        <f>IF(LEN(A699)=0,"",INDEX('Smelter Reference List'!$A:$A,MATCH($A699,'Smelter Reference List'!$E:$E,0)))</f>
        <v/>
      </c>
      <c r="C699" s="298" t="str">
        <f>IF(LEN(A699)=0,"",INDEX('Smelter Reference List'!$C:$C,MATCH($A699,'Smelter Reference List'!$E:$E,0)))</f>
        <v/>
      </c>
      <c r="D699" s="292" t="str">
        <f ca="1">IF(ISERROR($S699),"",OFFSET('Smelter Reference List'!$C$4,$S699-4,0)&amp;"")</f>
        <v/>
      </c>
      <c r="E699" s="292" t="str">
        <f ca="1">IF(ISERROR($S699),"",OFFSET('Smelter Reference List'!$D$4,$S699-4,0)&amp;"")</f>
        <v/>
      </c>
      <c r="F699" s="292" t="str">
        <f ca="1">IF(ISERROR($S699),"",OFFSET('Smelter Reference List'!$E$4,$S699-4,0))</f>
        <v/>
      </c>
      <c r="G699" s="292" t="str">
        <f ca="1">IF(C699=$U$4,"Enter smelter details", IF(ISERROR($S699),"",OFFSET('Smelter Reference List'!$F$4,$S699-4,0)))</f>
        <v/>
      </c>
      <c r="H699" s="293" t="str">
        <f ca="1">IF(ISERROR($S699),"",OFFSET('Smelter Reference List'!$G$4,$S699-4,0))</f>
        <v/>
      </c>
      <c r="I699" s="294" t="str">
        <f ca="1">IF(ISERROR($S699),"",OFFSET('Smelter Reference List'!$H$4,$S699-4,0))</f>
        <v/>
      </c>
      <c r="J699" s="294" t="str">
        <f ca="1">IF(ISERROR($S699),"",OFFSET('Smelter Reference List'!$I$4,$S699-4,0))</f>
        <v/>
      </c>
      <c r="K699" s="295"/>
      <c r="L699" s="295"/>
      <c r="M699" s="295"/>
      <c r="N699" s="295"/>
      <c r="O699" s="295"/>
      <c r="P699" s="295"/>
      <c r="Q699" s="296"/>
      <c r="R699" s="227"/>
      <c r="S699" s="228" t="e">
        <f>IF(C699="",NA(),MATCH($B699&amp;$C699,'Smelter Reference List'!$J:$J,0))</f>
        <v>#N/A</v>
      </c>
      <c r="T699" s="229"/>
      <c r="U699" s="229">
        <f t="shared" ca="1" si="22"/>
        <v>0</v>
      </c>
      <c r="V699" s="229"/>
      <c r="W699" s="229"/>
      <c r="Y699" s="223" t="str">
        <f t="shared" si="23"/>
        <v/>
      </c>
    </row>
    <row r="700" spans="1:25" s="223" customFormat="1" ht="20.25">
      <c r="A700" s="291"/>
      <c r="B700" s="292" t="str">
        <f>IF(LEN(A700)=0,"",INDEX('Smelter Reference List'!$A:$A,MATCH($A700,'Smelter Reference List'!$E:$E,0)))</f>
        <v/>
      </c>
      <c r="C700" s="298" t="str">
        <f>IF(LEN(A700)=0,"",INDEX('Smelter Reference List'!$C:$C,MATCH($A700,'Smelter Reference List'!$E:$E,0)))</f>
        <v/>
      </c>
      <c r="D700" s="292" t="str">
        <f ca="1">IF(ISERROR($S700),"",OFFSET('Smelter Reference List'!$C$4,$S700-4,0)&amp;"")</f>
        <v/>
      </c>
      <c r="E700" s="292" t="str">
        <f ca="1">IF(ISERROR($S700),"",OFFSET('Smelter Reference List'!$D$4,$S700-4,0)&amp;"")</f>
        <v/>
      </c>
      <c r="F700" s="292" t="str">
        <f ca="1">IF(ISERROR($S700),"",OFFSET('Smelter Reference List'!$E$4,$S700-4,0))</f>
        <v/>
      </c>
      <c r="G700" s="292" t="str">
        <f ca="1">IF(C700=$U$4,"Enter smelter details", IF(ISERROR($S700),"",OFFSET('Smelter Reference List'!$F$4,$S700-4,0)))</f>
        <v/>
      </c>
      <c r="H700" s="293" t="str">
        <f ca="1">IF(ISERROR($S700),"",OFFSET('Smelter Reference List'!$G$4,$S700-4,0))</f>
        <v/>
      </c>
      <c r="I700" s="294" t="str">
        <f ca="1">IF(ISERROR($S700),"",OFFSET('Smelter Reference List'!$H$4,$S700-4,0))</f>
        <v/>
      </c>
      <c r="J700" s="294" t="str">
        <f ca="1">IF(ISERROR($S700),"",OFFSET('Smelter Reference List'!$I$4,$S700-4,0))</f>
        <v/>
      </c>
      <c r="K700" s="295"/>
      <c r="L700" s="295"/>
      <c r="M700" s="295"/>
      <c r="N700" s="295"/>
      <c r="O700" s="295"/>
      <c r="P700" s="295"/>
      <c r="Q700" s="296"/>
      <c r="R700" s="227"/>
      <c r="S700" s="228" t="e">
        <f>IF(C700="",NA(),MATCH($B700&amp;$C700,'Smelter Reference List'!$J:$J,0))</f>
        <v>#N/A</v>
      </c>
      <c r="T700" s="229"/>
      <c r="U700" s="229">
        <f t="shared" ca="1" si="22"/>
        <v>0</v>
      </c>
      <c r="V700" s="229"/>
      <c r="W700" s="229"/>
      <c r="Y700" s="223" t="str">
        <f t="shared" si="23"/>
        <v/>
      </c>
    </row>
    <row r="701" spans="1:25" s="223" customFormat="1" ht="20.25">
      <c r="A701" s="291"/>
      <c r="B701" s="292" t="str">
        <f>IF(LEN(A701)=0,"",INDEX('Smelter Reference List'!$A:$A,MATCH($A701,'Smelter Reference List'!$E:$E,0)))</f>
        <v/>
      </c>
      <c r="C701" s="298" t="str">
        <f>IF(LEN(A701)=0,"",INDEX('Smelter Reference List'!$C:$C,MATCH($A701,'Smelter Reference List'!$E:$E,0)))</f>
        <v/>
      </c>
      <c r="D701" s="292" t="str">
        <f ca="1">IF(ISERROR($S701),"",OFFSET('Smelter Reference List'!$C$4,$S701-4,0)&amp;"")</f>
        <v/>
      </c>
      <c r="E701" s="292" t="str">
        <f ca="1">IF(ISERROR($S701),"",OFFSET('Smelter Reference List'!$D$4,$S701-4,0)&amp;"")</f>
        <v/>
      </c>
      <c r="F701" s="292" t="str">
        <f ca="1">IF(ISERROR($S701),"",OFFSET('Smelter Reference List'!$E$4,$S701-4,0))</f>
        <v/>
      </c>
      <c r="G701" s="292" t="str">
        <f ca="1">IF(C701=$U$4,"Enter smelter details", IF(ISERROR($S701),"",OFFSET('Smelter Reference List'!$F$4,$S701-4,0)))</f>
        <v/>
      </c>
      <c r="H701" s="293" t="str">
        <f ca="1">IF(ISERROR($S701),"",OFFSET('Smelter Reference List'!$G$4,$S701-4,0))</f>
        <v/>
      </c>
      <c r="I701" s="294" t="str">
        <f ca="1">IF(ISERROR($S701),"",OFFSET('Smelter Reference List'!$H$4,$S701-4,0))</f>
        <v/>
      </c>
      <c r="J701" s="294" t="str">
        <f ca="1">IF(ISERROR($S701),"",OFFSET('Smelter Reference List'!$I$4,$S701-4,0))</f>
        <v/>
      </c>
      <c r="K701" s="295"/>
      <c r="L701" s="295"/>
      <c r="M701" s="295"/>
      <c r="N701" s="295"/>
      <c r="O701" s="295"/>
      <c r="P701" s="295"/>
      <c r="Q701" s="296"/>
      <c r="R701" s="227"/>
      <c r="S701" s="228" t="e">
        <f>IF(C701="",NA(),MATCH($B701&amp;$C701,'Smelter Reference List'!$J:$J,0))</f>
        <v>#N/A</v>
      </c>
      <c r="T701" s="229"/>
      <c r="U701" s="229">
        <f t="shared" ca="1" si="22"/>
        <v>0</v>
      </c>
      <c r="V701" s="229"/>
      <c r="W701" s="229"/>
      <c r="Y701" s="223" t="str">
        <f t="shared" si="23"/>
        <v/>
      </c>
    </row>
    <row r="702" spans="1:25" s="223" customFormat="1" ht="20.25">
      <c r="A702" s="291"/>
      <c r="B702" s="292" t="str">
        <f>IF(LEN(A702)=0,"",INDEX('Smelter Reference List'!$A:$A,MATCH($A702,'Smelter Reference List'!$E:$E,0)))</f>
        <v/>
      </c>
      <c r="C702" s="298" t="str">
        <f>IF(LEN(A702)=0,"",INDEX('Smelter Reference List'!$C:$C,MATCH($A702,'Smelter Reference List'!$E:$E,0)))</f>
        <v/>
      </c>
      <c r="D702" s="292" t="str">
        <f ca="1">IF(ISERROR($S702),"",OFFSET('Smelter Reference List'!$C$4,$S702-4,0)&amp;"")</f>
        <v/>
      </c>
      <c r="E702" s="292" t="str">
        <f ca="1">IF(ISERROR($S702),"",OFFSET('Smelter Reference List'!$D$4,$S702-4,0)&amp;"")</f>
        <v/>
      </c>
      <c r="F702" s="292" t="str">
        <f ca="1">IF(ISERROR($S702),"",OFFSET('Smelter Reference List'!$E$4,$S702-4,0))</f>
        <v/>
      </c>
      <c r="G702" s="292" t="str">
        <f ca="1">IF(C702=$U$4,"Enter smelter details", IF(ISERROR($S702),"",OFFSET('Smelter Reference List'!$F$4,$S702-4,0)))</f>
        <v/>
      </c>
      <c r="H702" s="293" t="str">
        <f ca="1">IF(ISERROR($S702),"",OFFSET('Smelter Reference List'!$G$4,$S702-4,0))</f>
        <v/>
      </c>
      <c r="I702" s="294" t="str">
        <f ca="1">IF(ISERROR($S702),"",OFFSET('Smelter Reference List'!$H$4,$S702-4,0))</f>
        <v/>
      </c>
      <c r="J702" s="294" t="str">
        <f ca="1">IF(ISERROR($S702),"",OFFSET('Smelter Reference List'!$I$4,$S702-4,0))</f>
        <v/>
      </c>
      <c r="K702" s="295"/>
      <c r="L702" s="295"/>
      <c r="M702" s="295"/>
      <c r="N702" s="295"/>
      <c r="O702" s="295"/>
      <c r="P702" s="295"/>
      <c r="Q702" s="296"/>
      <c r="R702" s="227"/>
      <c r="S702" s="228" t="e">
        <f>IF(C702="",NA(),MATCH($B702&amp;$C702,'Smelter Reference List'!$J:$J,0))</f>
        <v>#N/A</v>
      </c>
      <c r="T702" s="229"/>
      <c r="U702" s="229">
        <f t="shared" ca="1" si="22"/>
        <v>0</v>
      </c>
      <c r="V702" s="229"/>
      <c r="W702" s="229"/>
      <c r="Y702" s="223" t="str">
        <f t="shared" si="23"/>
        <v/>
      </c>
    </row>
    <row r="703" spans="1:25" s="223" customFormat="1" ht="20.25">
      <c r="A703" s="291"/>
      <c r="B703" s="292" t="str">
        <f>IF(LEN(A703)=0,"",INDEX('Smelter Reference List'!$A:$A,MATCH($A703,'Smelter Reference List'!$E:$E,0)))</f>
        <v/>
      </c>
      <c r="C703" s="298" t="str">
        <f>IF(LEN(A703)=0,"",INDEX('Smelter Reference List'!$C:$C,MATCH($A703,'Smelter Reference List'!$E:$E,0)))</f>
        <v/>
      </c>
      <c r="D703" s="292" t="str">
        <f ca="1">IF(ISERROR($S703),"",OFFSET('Smelter Reference List'!$C$4,$S703-4,0)&amp;"")</f>
        <v/>
      </c>
      <c r="E703" s="292" t="str">
        <f ca="1">IF(ISERROR($S703),"",OFFSET('Smelter Reference List'!$D$4,$S703-4,0)&amp;"")</f>
        <v/>
      </c>
      <c r="F703" s="292" t="str">
        <f ca="1">IF(ISERROR($S703),"",OFFSET('Smelter Reference List'!$E$4,$S703-4,0))</f>
        <v/>
      </c>
      <c r="G703" s="292" t="str">
        <f ca="1">IF(C703=$U$4,"Enter smelter details", IF(ISERROR($S703),"",OFFSET('Smelter Reference List'!$F$4,$S703-4,0)))</f>
        <v/>
      </c>
      <c r="H703" s="293" t="str">
        <f ca="1">IF(ISERROR($S703),"",OFFSET('Smelter Reference List'!$G$4,$S703-4,0))</f>
        <v/>
      </c>
      <c r="I703" s="294" t="str">
        <f ca="1">IF(ISERROR($S703),"",OFFSET('Smelter Reference List'!$H$4,$S703-4,0))</f>
        <v/>
      </c>
      <c r="J703" s="294" t="str">
        <f ca="1">IF(ISERROR($S703),"",OFFSET('Smelter Reference List'!$I$4,$S703-4,0))</f>
        <v/>
      </c>
      <c r="K703" s="295"/>
      <c r="L703" s="295"/>
      <c r="M703" s="295"/>
      <c r="N703" s="295"/>
      <c r="O703" s="295"/>
      <c r="P703" s="295"/>
      <c r="Q703" s="296"/>
      <c r="R703" s="227"/>
      <c r="S703" s="228" t="e">
        <f>IF(C703="",NA(),MATCH($B703&amp;$C703,'Smelter Reference List'!$J:$J,0))</f>
        <v>#N/A</v>
      </c>
      <c r="T703" s="229"/>
      <c r="U703" s="229">
        <f t="shared" ca="1" si="22"/>
        <v>0</v>
      </c>
      <c r="V703" s="229"/>
      <c r="W703" s="229"/>
      <c r="Y703" s="223" t="str">
        <f t="shared" si="23"/>
        <v/>
      </c>
    </row>
    <row r="704" spans="1:25" s="223" customFormat="1" ht="20.25">
      <c r="A704" s="291"/>
      <c r="B704" s="292" t="str">
        <f>IF(LEN(A704)=0,"",INDEX('Smelter Reference List'!$A:$A,MATCH($A704,'Smelter Reference List'!$E:$E,0)))</f>
        <v/>
      </c>
      <c r="C704" s="298" t="str">
        <f>IF(LEN(A704)=0,"",INDEX('Smelter Reference List'!$C:$C,MATCH($A704,'Smelter Reference List'!$E:$E,0)))</f>
        <v/>
      </c>
      <c r="D704" s="292" t="str">
        <f ca="1">IF(ISERROR($S704),"",OFFSET('Smelter Reference List'!$C$4,$S704-4,0)&amp;"")</f>
        <v/>
      </c>
      <c r="E704" s="292" t="str">
        <f ca="1">IF(ISERROR($S704),"",OFFSET('Smelter Reference List'!$D$4,$S704-4,0)&amp;"")</f>
        <v/>
      </c>
      <c r="F704" s="292" t="str">
        <f ca="1">IF(ISERROR($S704),"",OFFSET('Smelter Reference List'!$E$4,$S704-4,0))</f>
        <v/>
      </c>
      <c r="G704" s="292" t="str">
        <f ca="1">IF(C704=$U$4,"Enter smelter details", IF(ISERROR($S704),"",OFFSET('Smelter Reference List'!$F$4,$S704-4,0)))</f>
        <v/>
      </c>
      <c r="H704" s="293" t="str">
        <f ca="1">IF(ISERROR($S704),"",OFFSET('Smelter Reference List'!$G$4,$S704-4,0))</f>
        <v/>
      </c>
      <c r="I704" s="294" t="str">
        <f ca="1">IF(ISERROR($S704),"",OFFSET('Smelter Reference List'!$H$4,$S704-4,0))</f>
        <v/>
      </c>
      <c r="J704" s="294" t="str">
        <f ca="1">IF(ISERROR($S704),"",OFFSET('Smelter Reference List'!$I$4,$S704-4,0))</f>
        <v/>
      </c>
      <c r="K704" s="295"/>
      <c r="L704" s="295"/>
      <c r="M704" s="295"/>
      <c r="N704" s="295"/>
      <c r="O704" s="295"/>
      <c r="P704" s="295"/>
      <c r="Q704" s="296"/>
      <c r="R704" s="227"/>
      <c r="S704" s="228" t="e">
        <f>IF(C704="",NA(),MATCH($B704&amp;$C704,'Smelter Reference List'!$J:$J,0))</f>
        <v>#N/A</v>
      </c>
      <c r="T704" s="229"/>
      <c r="U704" s="229">
        <f t="shared" ca="1" si="22"/>
        <v>0</v>
      </c>
      <c r="V704" s="229"/>
      <c r="W704" s="229"/>
      <c r="Y704" s="223" t="str">
        <f t="shared" si="23"/>
        <v/>
      </c>
    </row>
    <row r="705" spans="1:25" s="223" customFormat="1" ht="20.25">
      <c r="A705" s="291"/>
      <c r="B705" s="292" t="str">
        <f>IF(LEN(A705)=0,"",INDEX('Smelter Reference List'!$A:$A,MATCH($A705,'Smelter Reference List'!$E:$E,0)))</f>
        <v/>
      </c>
      <c r="C705" s="298" t="str">
        <f>IF(LEN(A705)=0,"",INDEX('Smelter Reference List'!$C:$C,MATCH($A705,'Smelter Reference List'!$E:$E,0)))</f>
        <v/>
      </c>
      <c r="D705" s="292" t="str">
        <f ca="1">IF(ISERROR($S705),"",OFFSET('Smelter Reference List'!$C$4,$S705-4,0)&amp;"")</f>
        <v/>
      </c>
      <c r="E705" s="292" t="str">
        <f ca="1">IF(ISERROR($S705),"",OFFSET('Smelter Reference List'!$D$4,$S705-4,0)&amp;"")</f>
        <v/>
      </c>
      <c r="F705" s="292" t="str">
        <f ca="1">IF(ISERROR($S705),"",OFFSET('Smelter Reference List'!$E$4,$S705-4,0))</f>
        <v/>
      </c>
      <c r="G705" s="292" t="str">
        <f ca="1">IF(C705=$U$4,"Enter smelter details", IF(ISERROR($S705),"",OFFSET('Smelter Reference List'!$F$4,$S705-4,0)))</f>
        <v/>
      </c>
      <c r="H705" s="293" t="str">
        <f ca="1">IF(ISERROR($S705),"",OFFSET('Smelter Reference List'!$G$4,$S705-4,0))</f>
        <v/>
      </c>
      <c r="I705" s="294" t="str">
        <f ca="1">IF(ISERROR($S705),"",OFFSET('Smelter Reference List'!$H$4,$S705-4,0))</f>
        <v/>
      </c>
      <c r="J705" s="294" t="str">
        <f ca="1">IF(ISERROR($S705),"",OFFSET('Smelter Reference List'!$I$4,$S705-4,0))</f>
        <v/>
      </c>
      <c r="K705" s="295"/>
      <c r="L705" s="295"/>
      <c r="M705" s="295"/>
      <c r="N705" s="295"/>
      <c r="O705" s="295"/>
      <c r="P705" s="295"/>
      <c r="Q705" s="296"/>
      <c r="R705" s="227"/>
      <c r="S705" s="228" t="e">
        <f>IF(C705="",NA(),MATCH($B705&amp;$C705,'Smelter Reference List'!$J:$J,0))</f>
        <v>#N/A</v>
      </c>
      <c r="T705" s="229"/>
      <c r="U705" s="229">
        <f t="shared" ca="1" si="22"/>
        <v>0</v>
      </c>
      <c r="V705" s="229"/>
      <c r="W705" s="229"/>
      <c r="Y705" s="223" t="str">
        <f t="shared" si="23"/>
        <v/>
      </c>
    </row>
    <row r="706" spans="1:25" s="223" customFormat="1" ht="20.25">
      <c r="A706" s="291"/>
      <c r="B706" s="292" t="str">
        <f>IF(LEN(A706)=0,"",INDEX('Smelter Reference List'!$A:$A,MATCH($A706,'Smelter Reference List'!$E:$E,0)))</f>
        <v/>
      </c>
      <c r="C706" s="298" t="str">
        <f>IF(LEN(A706)=0,"",INDEX('Smelter Reference List'!$C:$C,MATCH($A706,'Smelter Reference List'!$E:$E,0)))</f>
        <v/>
      </c>
      <c r="D706" s="292" t="str">
        <f ca="1">IF(ISERROR($S706),"",OFFSET('Smelter Reference List'!$C$4,$S706-4,0)&amp;"")</f>
        <v/>
      </c>
      <c r="E706" s="292" t="str">
        <f ca="1">IF(ISERROR($S706),"",OFFSET('Smelter Reference List'!$D$4,$S706-4,0)&amp;"")</f>
        <v/>
      </c>
      <c r="F706" s="292" t="str">
        <f ca="1">IF(ISERROR($S706),"",OFFSET('Smelter Reference List'!$E$4,$S706-4,0))</f>
        <v/>
      </c>
      <c r="G706" s="292" t="str">
        <f ca="1">IF(C706=$U$4,"Enter smelter details", IF(ISERROR($S706),"",OFFSET('Smelter Reference List'!$F$4,$S706-4,0)))</f>
        <v/>
      </c>
      <c r="H706" s="293" t="str">
        <f ca="1">IF(ISERROR($S706),"",OFFSET('Smelter Reference List'!$G$4,$S706-4,0))</f>
        <v/>
      </c>
      <c r="I706" s="294" t="str">
        <f ca="1">IF(ISERROR($S706),"",OFFSET('Smelter Reference List'!$H$4,$S706-4,0))</f>
        <v/>
      </c>
      <c r="J706" s="294" t="str">
        <f ca="1">IF(ISERROR($S706),"",OFFSET('Smelter Reference List'!$I$4,$S706-4,0))</f>
        <v/>
      </c>
      <c r="K706" s="295"/>
      <c r="L706" s="295"/>
      <c r="M706" s="295"/>
      <c r="N706" s="295"/>
      <c r="O706" s="295"/>
      <c r="P706" s="295"/>
      <c r="Q706" s="296"/>
      <c r="R706" s="227"/>
      <c r="S706" s="228" t="e">
        <f>IF(C706="",NA(),MATCH($B706&amp;$C706,'Smelter Reference List'!$J:$J,0))</f>
        <v>#N/A</v>
      </c>
      <c r="T706" s="229"/>
      <c r="U706" s="229">
        <f t="shared" ca="1" si="22"/>
        <v>0</v>
      </c>
      <c r="V706" s="229"/>
      <c r="W706" s="229"/>
      <c r="Y706" s="223" t="str">
        <f t="shared" si="23"/>
        <v/>
      </c>
    </row>
    <row r="707" spans="1:25" s="223" customFormat="1" ht="20.25">
      <c r="A707" s="291"/>
      <c r="B707" s="292" t="str">
        <f>IF(LEN(A707)=0,"",INDEX('Smelter Reference List'!$A:$A,MATCH($A707,'Smelter Reference List'!$E:$E,0)))</f>
        <v/>
      </c>
      <c r="C707" s="298" t="str">
        <f>IF(LEN(A707)=0,"",INDEX('Smelter Reference List'!$C:$C,MATCH($A707,'Smelter Reference List'!$E:$E,0)))</f>
        <v/>
      </c>
      <c r="D707" s="292" t="str">
        <f ca="1">IF(ISERROR($S707),"",OFFSET('Smelter Reference List'!$C$4,$S707-4,0)&amp;"")</f>
        <v/>
      </c>
      <c r="E707" s="292" t="str">
        <f ca="1">IF(ISERROR($S707),"",OFFSET('Smelter Reference List'!$D$4,$S707-4,0)&amp;"")</f>
        <v/>
      </c>
      <c r="F707" s="292" t="str">
        <f ca="1">IF(ISERROR($S707),"",OFFSET('Smelter Reference List'!$E$4,$S707-4,0))</f>
        <v/>
      </c>
      <c r="G707" s="292" t="str">
        <f ca="1">IF(C707=$U$4,"Enter smelter details", IF(ISERROR($S707),"",OFFSET('Smelter Reference List'!$F$4,$S707-4,0)))</f>
        <v/>
      </c>
      <c r="H707" s="293" t="str">
        <f ca="1">IF(ISERROR($S707),"",OFFSET('Smelter Reference List'!$G$4,$S707-4,0))</f>
        <v/>
      </c>
      <c r="I707" s="294" t="str">
        <f ca="1">IF(ISERROR($S707),"",OFFSET('Smelter Reference List'!$H$4,$S707-4,0))</f>
        <v/>
      </c>
      <c r="J707" s="294" t="str">
        <f ca="1">IF(ISERROR($S707),"",OFFSET('Smelter Reference List'!$I$4,$S707-4,0))</f>
        <v/>
      </c>
      <c r="K707" s="295"/>
      <c r="L707" s="295"/>
      <c r="M707" s="295"/>
      <c r="N707" s="295"/>
      <c r="O707" s="295"/>
      <c r="P707" s="295"/>
      <c r="Q707" s="296"/>
      <c r="R707" s="227"/>
      <c r="S707" s="228" t="e">
        <f>IF(C707="",NA(),MATCH($B707&amp;$C707,'Smelter Reference List'!$J:$J,0))</f>
        <v>#N/A</v>
      </c>
      <c r="T707" s="229"/>
      <c r="U707" s="229">
        <f t="shared" ca="1" si="22"/>
        <v>0</v>
      </c>
      <c r="V707" s="229"/>
      <c r="W707" s="229"/>
      <c r="Y707" s="223" t="str">
        <f t="shared" si="23"/>
        <v/>
      </c>
    </row>
    <row r="708" spans="1:25" s="223" customFormat="1" ht="20.25">
      <c r="A708" s="291"/>
      <c r="B708" s="292" t="str">
        <f>IF(LEN(A708)=0,"",INDEX('Smelter Reference List'!$A:$A,MATCH($A708,'Smelter Reference List'!$E:$E,0)))</f>
        <v/>
      </c>
      <c r="C708" s="298" t="str">
        <f>IF(LEN(A708)=0,"",INDEX('Smelter Reference List'!$C:$C,MATCH($A708,'Smelter Reference List'!$E:$E,0)))</f>
        <v/>
      </c>
      <c r="D708" s="292" t="str">
        <f ca="1">IF(ISERROR($S708),"",OFFSET('Smelter Reference List'!$C$4,$S708-4,0)&amp;"")</f>
        <v/>
      </c>
      <c r="E708" s="292" t="str">
        <f ca="1">IF(ISERROR($S708),"",OFFSET('Smelter Reference List'!$D$4,$S708-4,0)&amp;"")</f>
        <v/>
      </c>
      <c r="F708" s="292" t="str">
        <f ca="1">IF(ISERROR($S708),"",OFFSET('Smelter Reference List'!$E$4,$S708-4,0))</f>
        <v/>
      </c>
      <c r="G708" s="292" t="str">
        <f ca="1">IF(C708=$U$4,"Enter smelter details", IF(ISERROR($S708),"",OFFSET('Smelter Reference List'!$F$4,$S708-4,0)))</f>
        <v/>
      </c>
      <c r="H708" s="293" t="str">
        <f ca="1">IF(ISERROR($S708),"",OFFSET('Smelter Reference List'!$G$4,$S708-4,0))</f>
        <v/>
      </c>
      <c r="I708" s="294" t="str">
        <f ca="1">IF(ISERROR($S708),"",OFFSET('Smelter Reference List'!$H$4,$S708-4,0))</f>
        <v/>
      </c>
      <c r="J708" s="294" t="str">
        <f ca="1">IF(ISERROR($S708),"",OFFSET('Smelter Reference List'!$I$4,$S708-4,0))</f>
        <v/>
      </c>
      <c r="K708" s="295"/>
      <c r="L708" s="295"/>
      <c r="M708" s="295"/>
      <c r="N708" s="295"/>
      <c r="O708" s="295"/>
      <c r="P708" s="295"/>
      <c r="Q708" s="296"/>
      <c r="R708" s="227"/>
      <c r="S708" s="228" t="e">
        <f>IF(C708="",NA(),MATCH($B708&amp;$C708,'Smelter Reference List'!$J:$J,0))</f>
        <v>#N/A</v>
      </c>
      <c r="T708" s="229"/>
      <c r="U708" s="229">
        <f t="shared" ca="1" si="22"/>
        <v>0</v>
      </c>
      <c r="V708" s="229"/>
      <c r="W708" s="229"/>
      <c r="Y708" s="223" t="str">
        <f t="shared" si="23"/>
        <v/>
      </c>
    </row>
    <row r="709" spans="1:25" s="223" customFormat="1" ht="20.25">
      <c r="A709" s="291"/>
      <c r="B709" s="292" t="str">
        <f>IF(LEN(A709)=0,"",INDEX('Smelter Reference List'!$A:$A,MATCH($A709,'Smelter Reference List'!$E:$E,0)))</f>
        <v/>
      </c>
      <c r="C709" s="298" t="str">
        <f>IF(LEN(A709)=0,"",INDEX('Smelter Reference List'!$C:$C,MATCH($A709,'Smelter Reference List'!$E:$E,0)))</f>
        <v/>
      </c>
      <c r="D709" s="292" t="str">
        <f ca="1">IF(ISERROR($S709),"",OFFSET('Smelter Reference List'!$C$4,$S709-4,0)&amp;"")</f>
        <v/>
      </c>
      <c r="E709" s="292" t="str">
        <f ca="1">IF(ISERROR($S709),"",OFFSET('Smelter Reference List'!$D$4,$S709-4,0)&amp;"")</f>
        <v/>
      </c>
      <c r="F709" s="292" t="str">
        <f ca="1">IF(ISERROR($S709),"",OFFSET('Smelter Reference List'!$E$4,$S709-4,0))</f>
        <v/>
      </c>
      <c r="G709" s="292" t="str">
        <f ca="1">IF(C709=$U$4,"Enter smelter details", IF(ISERROR($S709),"",OFFSET('Smelter Reference List'!$F$4,$S709-4,0)))</f>
        <v/>
      </c>
      <c r="H709" s="293" t="str">
        <f ca="1">IF(ISERROR($S709),"",OFFSET('Smelter Reference List'!$G$4,$S709-4,0))</f>
        <v/>
      </c>
      <c r="I709" s="294" t="str">
        <f ca="1">IF(ISERROR($S709),"",OFFSET('Smelter Reference List'!$H$4,$S709-4,0))</f>
        <v/>
      </c>
      <c r="J709" s="294" t="str">
        <f ca="1">IF(ISERROR($S709),"",OFFSET('Smelter Reference List'!$I$4,$S709-4,0))</f>
        <v/>
      </c>
      <c r="K709" s="295"/>
      <c r="L709" s="295"/>
      <c r="M709" s="295"/>
      <c r="N709" s="295"/>
      <c r="O709" s="295"/>
      <c r="P709" s="295"/>
      <c r="Q709" s="296"/>
      <c r="R709" s="227"/>
      <c r="S709" s="228" t="e">
        <f>IF(C709="",NA(),MATCH($B709&amp;$C709,'Smelter Reference List'!$J:$J,0))</f>
        <v>#N/A</v>
      </c>
      <c r="T709" s="229"/>
      <c r="U709" s="229">
        <f t="shared" ref="U709:U772" ca="1" si="24">IF(AND(C709="Smelter not listed",OR(LEN(D709)=0,LEN(E709)=0)),1,0)</f>
        <v>0</v>
      </c>
      <c r="V709" s="229"/>
      <c r="W709" s="229"/>
      <c r="Y709" s="223" t="str">
        <f t="shared" ref="Y709:Y772" si="25">B709&amp;C709</f>
        <v/>
      </c>
    </row>
    <row r="710" spans="1:25" s="223" customFormat="1" ht="20.25">
      <c r="A710" s="291"/>
      <c r="B710" s="292" t="str">
        <f>IF(LEN(A710)=0,"",INDEX('Smelter Reference List'!$A:$A,MATCH($A710,'Smelter Reference List'!$E:$E,0)))</f>
        <v/>
      </c>
      <c r="C710" s="298" t="str">
        <f>IF(LEN(A710)=0,"",INDEX('Smelter Reference List'!$C:$C,MATCH($A710,'Smelter Reference List'!$E:$E,0)))</f>
        <v/>
      </c>
      <c r="D710" s="292" t="str">
        <f ca="1">IF(ISERROR($S710),"",OFFSET('Smelter Reference List'!$C$4,$S710-4,0)&amp;"")</f>
        <v/>
      </c>
      <c r="E710" s="292" t="str">
        <f ca="1">IF(ISERROR($S710),"",OFFSET('Smelter Reference List'!$D$4,$S710-4,0)&amp;"")</f>
        <v/>
      </c>
      <c r="F710" s="292" t="str">
        <f ca="1">IF(ISERROR($S710),"",OFFSET('Smelter Reference List'!$E$4,$S710-4,0))</f>
        <v/>
      </c>
      <c r="G710" s="292" t="str">
        <f ca="1">IF(C710=$U$4,"Enter smelter details", IF(ISERROR($S710),"",OFFSET('Smelter Reference List'!$F$4,$S710-4,0)))</f>
        <v/>
      </c>
      <c r="H710" s="293" t="str">
        <f ca="1">IF(ISERROR($S710),"",OFFSET('Smelter Reference List'!$G$4,$S710-4,0))</f>
        <v/>
      </c>
      <c r="I710" s="294" t="str">
        <f ca="1">IF(ISERROR($S710),"",OFFSET('Smelter Reference List'!$H$4,$S710-4,0))</f>
        <v/>
      </c>
      <c r="J710" s="294" t="str">
        <f ca="1">IF(ISERROR($S710),"",OFFSET('Smelter Reference List'!$I$4,$S710-4,0))</f>
        <v/>
      </c>
      <c r="K710" s="295"/>
      <c r="L710" s="295"/>
      <c r="M710" s="295"/>
      <c r="N710" s="295"/>
      <c r="O710" s="295"/>
      <c r="P710" s="295"/>
      <c r="Q710" s="296"/>
      <c r="R710" s="227"/>
      <c r="S710" s="228" t="e">
        <f>IF(C710="",NA(),MATCH($B710&amp;$C710,'Smelter Reference List'!$J:$J,0))</f>
        <v>#N/A</v>
      </c>
      <c r="T710" s="229"/>
      <c r="U710" s="229">
        <f t="shared" ca="1" si="24"/>
        <v>0</v>
      </c>
      <c r="V710" s="229"/>
      <c r="W710" s="229"/>
      <c r="Y710" s="223" t="str">
        <f t="shared" si="25"/>
        <v/>
      </c>
    </row>
    <row r="711" spans="1:25" s="223" customFormat="1" ht="20.25">
      <c r="A711" s="291"/>
      <c r="B711" s="292" t="str">
        <f>IF(LEN(A711)=0,"",INDEX('Smelter Reference List'!$A:$A,MATCH($A711,'Smelter Reference List'!$E:$E,0)))</f>
        <v/>
      </c>
      <c r="C711" s="298" t="str">
        <f>IF(LEN(A711)=0,"",INDEX('Smelter Reference List'!$C:$C,MATCH($A711,'Smelter Reference List'!$E:$E,0)))</f>
        <v/>
      </c>
      <c r="D711" s="292" t="str">
        <f ca="1">IF(ISERROR($S711),"",OFFSET('Smelter Reference List'!$C$4,$S711-4,0)&amp;"")</f>
        <v/>
      </c>
      <c r="E711" s="292" t="str">
        <f ca="1">IF(ISERROR($S711),"",OFFSET('Smelter Reference List'!$D$4,$S711-4,0)&amp;"")</f>
        <v/>
      </c>
      <c r="F711" s="292" t="str">
        <f ca="1">IF(ISERROR($S711),"",OFFSET('Smelter Reference List'!$E$4,$S711-4,0))</f>
        <v/>
      </c>
      <c r="G711" s="292" t="str">
        <f ca="1">IF(C711=$U$4,"Enter smelter details", IF(ISERROR($S711),"",OFFSET('Smelter Reference List'!$F$4,$S711-4,0)))</f>
        <v/>
      </c>
      <c r="H711" s="293" t="str">
        <f ca="1">IF(ISERROR($S711),"",OFFSET('Smelter Reference List'!$G$4,$S711-4,0))</f>
        <v/>
      </c>
      <c r="I711" s="294" t="str">
        <f ca="1">IF(ISERROR($S711),"",OFFSET('Smelter Reference List'!$H$4,$S711-4,0))</f>
        <v/>
      </c>
      <c r="J711" s="294" t="str">
        <f ca="1">IF(ISERROR($S711),"",OFFSET('Smelter Reference List'!$I$4,$S711-4,0))</f>
        <v/>
      </c>
      <c r="K711" s="295"/>
      <c r="L711" s="295"/>
      <c r="M711" s="295"/>
      <c r="N711" s="295"/>
      <c r="O711" s="295"/>
      <c r="P711" s="295"/>
      <c r="Q711" s="296"/>
      <c r="R711" s="227"/>
      <c r="S711" s="228" t="e">
        <f>IF(C711="",NA(),MATCH($B711&amp;$C711,'Smelter Reference List'!$J:$J,0))</f>
        <v>#N/A</v>
      </c>
      <c r="T711" s="229"/>
      <c r="U711" s="229">
        <f t="shared" ca="1" si="24"/>
        <v>0</v>
      </c>
      <c r="V711" s="229"/>
      <c r="W711" s="229"/>
      <c r="Y711" s="223" t="str">
        <f t="shared" si="25"/>
        <v/>
      </c>
    </row>
    <row r="712" spans="1:25" s="223" customFormat="1" ht="20.25">
      <c r="A712" s="291"/>
      <c r="B712" s="292" t="str">
        <f>IF(LEN(A712)=0,"",INDEX('Smelter Reference List'!$A:$A,MATCH($A712,'Smelter Reference List'!$E:$E,0)))</f>
        <v/>
      </c>
      <c r="C712" s="298" t="str">
        <f>IF(LEN(A712)=0,"",INDEX('Smelter Reference List'!$C:$C,MATCH($A712,'Smelter Reference List'!$E:$E,0)))</f>
        <v/>
      </c>
      <c r="D712" s="292" t="str">
        <f ca="1">IF(ISERROR($S712),"",OFFSET('Smelter Reference List'!$C$4,$S712-4,0)&amp;"")</f>
        <v/>
      </c>
      <c r="E712" s="292" t="str">
        <f ca="1">IF(ISERROR($S712),"",OFFSET('Smelter Reference List'!$D$4,$S712-4,0)&amp;"")</f>
        <v/>
      </c>
      <c r="F712" s="292" t="str">
        <f ca="1">IF(ISERROR($S712),"",OFFSET('Smelter Reference List'!$E$4,$S712-4,0))</f>
        <v/>
      </c>
      <c r="G712" s="292" t="str">
        <f ca="1">IF(C712=$U$4,"Enter smelter details", IF(ISERROR($S712),"",OFFSET('Smelter Reference List'!$F$4,$S712-4,0)))</f>
        <v/>
      </c>
      <c r="H712" s="293" t="str">
        <f ca="1">IF(ISERROR($S712),"",OFFSET('Smelter Reference List'!$G$4,$S712-4,0))</f>
        <v/>
      </c>
      <c r="I712" s="294" t="str">
        <f ca="1">IF(ISERROR($S712),"",OFFSET('Smelter Reference List'!$H$4,$S712-4,0))</f>
        <v/>
      </c>
      <c r="J712" s="294" t="str">
        <f ca="1">IF(ISERROR($S712),"",OFFSET('Smelter Reference List'!$I$4,$S712-4,0))</f>
        <v/>
      </c>
      <c r="K712" s="295"/>
      <c r="L712" s="295"/>
      <c r="M712" s="295"/>
      <c r="N712" s="295"/>
      <c r="O712" s="295"/>
      <c r="P712" s="295"/>
      <c r="Q712" s="296"/>
      <c r="R712" s="227"/>
      <c r="S712" s="228" t="e">
        <f>IF(C712="",NA(),MATCH($B712&amp;$C712,'Smelter Reference List'!$J:$J,0))</f>
        <v>#N/A</v>
      </c>
      <c r="T712" s="229"/>
      <c r="U712" s="229">
        <f t="shared" ca="1" si="24"/>
        <v>0</v>
      </c>
      <c r="V712" s="229"/>
      <c r="W712" s="229"/>
      <c r="Y712" s="223" t="str">
        <f t="shared" si="25"/>
        <v/>
      </c>
    </row>
    <row r="713" spans="1:25" s="223" customFormat="1" ht="20.25">
      <c r="A713" s="291"/>
      <c r="B713" s="292" t="str">
        <f>IF(LEN(A713)=0,"",INDEX('Smelter Reference List'!$A:$A,MATCH($A713,'Smelter Reference List'!$E:$E,0)))</f>
        <v/>
      </c>
      <c r="C713" s="298" t="str">
        <f>IF(LEN(A713)=0,"",INDEX('Smelter Reference List'!$C:$C,MATCH($A713,'Smelter Reference List'!$E:$E,0)))</f>
        <v/>
      </c>
      <c r="D713" s="292" t="str">
        <f ca="1">IF(ISERROR($S713),"",OFFSET('Smelter Reference List'!$C$4,$S713-4,0)&amp;"")</f>
        <v/>
      </c>
      <c r="E713" s="292" t="str">
        <f ca="1">IF(ISERROR($S713),"",OFFSET('Smelter Reference List'!$D$4,$S713-4,0)&amp;"")</f>
        <v/>
      </c>
      <c r="F713" s="292" t="str">
        <f ca="1">IF(ISERROR($S713),"",OFFSET('Smelter Reference List'!$E$4,$S713-4,0))</f>
        <v/>
      </c>
      <c r="G713" s="292" t="str">
        <f ca="1">IF(C713=$U$4,"Enter smelter details", IF(ISERROR($S713),"",OFFSET('Smelter Reference List'!$F$4,$S713-4,0)))</f>
        <v/>
      </c>
      <c r="H713" s="293" t="str">
        <f ca="1">IF(ISERROR($S713),"",OFFSET('Smelter Reference List'!$G$4,$S713-4,0))</f>
        <v/>
      </c>
      <c r="I713" s="294" t="str">
        <f ca="1">IF(ISERROR($S713),"",OFFSET('Smelter Reference List'!$H$4,$S713-4,0))</f>
        <v/>
      </c>
      <c r="J713" s="294" t="str">
        <f ca="1">IF(ISERROR($S713),"",OFFSET('Smelter Reference List'!$I$4,$S713-4,0))</f>
        <v/>
      </c>
      <c r="K713" s="295"/>
      <c r="L713" s="295"/>
      <c r="M713" s="295"/>
      <c r="N713" s="295"/>
      <c r="O713" s="295"/>
      <c r="P713" s="295"/>
      <c r="Q713" s="296"/>
      <c r="R713" s="227"/>
      <c r="S713" s="228" t="e">
        <f>IF(C713="",NA(),MATCH($B713&amp;$C713,'Smelter Reference List'!$J:$J,0))</f>
        <v>#N/A</v>
      </c>
      <c r="T713" s="229"/>
      <c r="U713" s="229">
        <f t="shared" ca="1" si="24"/>
        <v>0</v>
      </c>
      <c r="V713" s="229"/>
      <c r="W713" s="229"/>
      <c r="Y713" s="223" t="str">
        <f t="shared" si="25"/>
        <v/>
      </c>
    </row>
    <row r="714" spans="1:25" s="223" customFormat="1" ht="20.25">
      <c r="A714" s="291"/>
      <c r="B714" s="292" t="str">
        <f>IF(LEN(A714)=0,"",INDEX('Smelter Reference List'!$A:$A,MATCH($A714,'Smelter Reference List'!$E:$E,0)))</f>
        <v/>
      </c>
      <c r="C714" s="298" t="str">
        <f>IF(LEN(A714)=0,"",INDEX('Smelter Reference List'!$C:$C,MATCH($A714,'Smelter Reference List'!$E:$E,0)))</f>
        <v/>
      </c>
      <c r="D714" s="292" t="str">
        <f ca="1">IF(ISERROR($S714),"",OFFSET('Smelter Reference List'!$C$4,$S714-4,0)&amp;"")</f>
        <v/>
      </c>
      <c r="E714" s="292" t="str">
        <f ca="1">IF(ISERROR($S714),"",OFFSET('Smelter Reference List'!$D$4,$S714-4,0)&amp;"")</f>
        <v/>
      </c>
      <c r="F714" s="292" t="str">
        <f ca="1">IF(ISERROR($S714),"",OFFSET('Smelter Reference List'!$E$4,$S714-4,0))</f>
        <v/>
      </c>
      <c r="G714" s="292" t="str">
        <f ca="1">IF(C714=$U$4,"Enter smelter details", IF(ISERROR($S714),"",OFFSET('Smelter Reference List'!$F$4,$S714-4,0)))</f>
        <v/>
      </c>
      <c r="H714" s="293" t="str">
        <f ca="1">IF(ISERROR($S714),"",OFFSET('Smelter Reference List'!$G$4,$S714-4,0))</f>
        <v/>
      </c>
      <c r="I714" s="294" t="str">
        <f ca="1">IF(ISERROR($S714),"",OFFSET('Smelter Reference List'!$H$4,$S714-4,0))</f>
        <v/>
      </c>
      <c r="J714" s="294" t="str">
        <f ca="1">IF(ISERROR($S714),"",OFFSET('Smelter Reference List'!$I$4,$S714-4,0))</f>
        <v/>
      </c>
      <c r="K714" s="295"/>
      <c r="L714" s="295"/>
      <c r="M714" s="295"/>
      <c r="N714" s="295"/>
      <c r="O714" s="295"/>
      <c r="P714" s="295"/>
      <c r="Q714" s="296"/>
      <c r="R714" s="227"/>
      <c r="S714" s="228" t="e">
        <f>IF(C714="",NA(),MATCH($B714&amp;$C714,'Smelter Reference List'!$J:$J,0))</f>
        <v>#N/A</v>
      </c>
      <c r="T714" s="229"/>
      <c r="U714" s="229">
        <f t="shared" ca="1" si="24"/>
        <v>0</v>
      </c>
      <c r="V714" s="229"/>
      <c r="W714" s="229"/>
      <c r="Y714" s="223" t="str">
        <f t="shared" si="25"/>
        <v/>
      </c>
    </row>
    <row r="715" spans="1:25" s="223" customFormat="1" ht="20.25">
      <c r="A715" s="291"/>
      <c r="B715" s="292" t="str">
        <f>IF(LEN(A715)=0,"",INDEX('Smelter Reference List'!$A:$A,MATCH($A715,'Smelter Reference List'!$E:$E,0)))</f>
        <v/>
      </c>
      <c r="C715" s="298" t="str">
        <f>IF(LEN(A715)=0,"",INDEX('Smelter Reference List'!$C:$C,MATCH($A715,'Smelter Reference List'!$E:$E,0)))</f>
        <v/>
      </c>
      <c r="D715" s="292" t="str">
        <f ca="1">IF(ISERROR($S715),"",OFFSET('Smelter Reference List'!$C$4,$S715-4,0)&amp;"")</f>
        <v/>
      </c>
      <c r="E715" s="292" t="str">
        <f ca="1">IF(ISERROR($S715),"",OFFSET('Smelter Reference List'!$D$4,$S715-4,0)&amp;"")</f>
        <v/>
      </c>
      <c r="F715" s="292" t="str">
        <f ca="1">IF(ISERROR($S715),"",OFFSET('Smelter Reference List'!$E$4,$S715-4,0))</f>
        <v/>
      </c>
      <c r="G715" s="292" t="str">
        <f ca="1">IF(C715=$U$4,"Enter smelter details", IF(ISERROR($S715),"",OFFSET('Smelter Reference List'!$F$4,$S715-4,0)))</f>
        <v/>
      </c>
      <c r="H715" s="293" t="str">
        <f ca="1">IF(ISERROR($S715),"",OFFSET('Smelter Reference List'!$G$4,$S715-4,0))</f>
        <v/>
      </c>
      <c r="I715" s="294" t="str">
        <f ca="1">IF(ISERROR($S715),"",OFFSET('Smelter Reference List'!$H$4,$S715-4,0))</f>
        <v/>
      </c>
      <c r="J715" s="294" t="str">
        <f ca="1">IF(ISERROR($S715),"",OFFSET('Smelter Reference List'!$I$4,$S715-4,0))</f>
        <v/>
      </c>
      <c r="K715" s="295"/>
      <c r="L715" s="295"/>
      <c r="M715" s="295"/>
      <c r="N715" s="295"/>
      <c r="O715" s="295"/>
      <c r="P715" s="295"/>
      <c r="Q715" s="296"/>
      <c r="R715" s="227"/>
      <c r="S715" s="228" t="e">
        <f>IF(C715="",NA(),MATCH($B715&amp;$C715,'Smelter Reference List'!$J:$J,0))</f>
        <v>#N/A</v>
      </c>
      <c r="T715" s="229"/>
      <c r="U715" s="229">
        <f t="shared" ca="1" si="24"/>
        <v>0</v>
      </c>
      <c r="V715" s="229"/>
      <c r="W715" s="229"/>
      <c r="Y715" s="223" t="str">
        <f t="shared" si="25"/>
        <v/>
      </c>
    </row>
    <row r="716" spans="1:25" s="223" customFormat="1" ht="20.25">
      <c r="A716" s="291"/>
      <c r="B716" s="292" t="str">
        <f>IF(LEN(A716)=0,"",INDEX('Smelter Reference List'!$A:$A,MATCH($A716,'Smelter Reference List'!$E:$E,0)))</f>
        <v/>
      </c>
      <c r="C716" s="298" t="str">
        <f>IF(LEN(A716)=0,"",INDEX('Smelter Reference List'!$C:$C,MATCH($A716,'Smelter Reference List'!$E:$E,0)))</f>
        <v/>
      </c>
      <c r="D716" s="292" t="str">
        <f ca="1">IF(ISERROR($S716),"",OFFSET('Smelter Reference List'!$C$4,$S716-4,0)&amp;"")</f>
        <v/>
      </c>
      <c r="E716" s="292" t="str">
        <f ca="1">IF(ISERROR($S716),"",OFFSET('Smelter Reference List'!$D$4,$S716-4,0)&amp;"")</f>
        <v/>
      </c>
      <c r="F716" s="292" t="str">
        <f ca="1">IF(ISERROR($S716),"",OFFSET('Smelter Reference List'!$E$4,$S716-4,0))</f>
        <v/>
      </c>
      <c r="G716" s="292" t="str">
        <f ca="1">IF(C716=$U$4,"Enter smelter details", IF(ISERROR($S716),"",OFFSET('Smelter Reference List'!$F$4,$S716-4,0)))</f>
        <v/>
      </c>
      <c r="H716" s="293" t="str">
        <f ca="1">IF(ISERROR($S716),"",OFFSET('Smelter Reference List'!$G$4,$S716-4,0))</f>
        <v/>
      </c>
      <c r="I716" s="294" t="str">
        <f ca="1">IF(ISERROR($S716),"",OFFSET('Smelter Reference List'!$H$4,$S716-4,0))</f>
        <v/>
      </c>
      <c r="J716" s="294" t="str">
        <f ca="1">IF(ISERROR($S716),"",OFFSET('Smelter Reference List'!$I$4,$S716-4,0))</f>
        <v/>
      </c>
      <c r="K716" s="295"/>
      <c r="L716" s="295"/>
      <c r="M716" s="295"/>
      <c r="N716" s="295"/>
      <c r="O716" s="295"/>
      <c r="P716" s="295"/>
      <c r="Q716" s="296"/>
      <c r="R716" s="227"/>
      <c r="S716" s="228" t="e">
        <f>IF(C716="",NA(),MATCH($B716&amp;$C716,'Smelter Reference List'!$J:$J,0))</f>
        <v>#N/A</v>
      </c>
      <c r="T716" s="229"/>
      <c r="U716" s="229">
        <f t="shared" ca="1" si="24"/>
        <v>0</v>
      </c>
      <c r="V716" s="229"/>
      <c r="W716" s="229"/>
      <c r="Y716" s="223" t="str">
        <f t="shared" si="25"/>
        <v/>
      </c>
    </row>
    <row r="717" spans="1:25" s="223" customFormat="1" ht="20.25">
      <c r="A717" s="291"/>
      <c r="B717" s="292" t="str">
        <f>IF(LEN(A717)=0,"",INDEX('Smelter Reference List'!$A:$A,MATCH($A717,'Smelter Reference List'!$E:$E,0)))</f>
        <v/>
      </c>
      <c r="C717" s="298" t="str">
        <f>IF(LEN(A717)=0,"",INDEX('Smelter Reference List'!$C:$C,MATCH($A717,'Smelter Reference List'!$E:$E,0)))</f>
        <v/>
      </c>
      <c r="D717" s="292" t="str">
        <f ca="1">IF(ISERROR($S717),"",OFFSET('Smelter Reference List'!$C$4,$S717-4,0)&amp;"")</f>
        <v/>
      </c>
      <c r="E717" s="292" t="str">
        <f ca="1">IF(ISERROR($S717),"",OFFSET('Smelter Reference List'!$D$4,$S717-4,0)&amp;"")</f>
        <v/>
      </c>
      <c r="F717" s="292" t="str">
        <f ca="1">IF(ISERROR($S717),"",OFFSET('Smelter Reference List'!$E$4,$S717-4,0))</f>
        <v/>
      </c>
      <c r="G717" s="292" t="str">
        <f ca="1">IF(C717=$U$4,"Enter smelter details", IF(ISERROR($S717),"",OFFSET('Smelter Reference List'!$F$4,$S717-4,0)))</f>
        <v/>
      </c>
      <c r="H717" s="293" t="str">
        <f ca="1">IF(ISERROR($S717),"",OFFSET('Smelter Reference List'!$G$4,$S717-4,0))</f>
        <v/>
      </c>
      <c r="I717" s="294" t="str">
        <f ca="1">IF(ISERROR($S717),"",OFFSET('Smelter Reference List'!$H$4,$S717-4,0))</f>
        <v/>
      </c>
      <c r="J717" s="294" t="str">
        <f ca="1">IF(ISERROR($S717),"",OFFSET('Smelter Reference List'!$I$4,$S717-4,0))</f>
        <v/>
      </c>
      <c r="K717" s="295"/>
      <c r="L717" s="295"/>
      <c r="M717" s="295"/>
      <c r="N717" s="295"/>
      <c r="O717" s="295"/>
      <c r="P717" s="295"/>
      <c r="Q717" s="296"/>
      <c r="R717" s="227"/>
      <c r="S717" s="228" t="e">
        <f>IF(C717="",NA(),MATCH($B717&amp;$C717,'Smelter Reference List'!$J:$J,0))</f>
        <v>#N/A</v>
      </c>
      <c r="T717" s="229"/>
      <c r="U717" s="229">
        <f t="shared" ca="1" si="24"/>
        <v>0</v>
      </c>
      <c r="V717" s="229"/>
      <c r="W717" s="229"/>
      <c r="Y717" s="223" t="str">
        <f t="shared" si="25"/>
        <v/>
      </c>
    </row>
    <row r="718" spans="1:25" s="223" customFormat="1" ht="20.25">
      <c r="A718" s="291"/>
      <c r="B718" s="292" t="str">
        <f>IF(LEN(A718)=0,"",INDEX('Smelter Reference List'!$A:$A,MATCH($A718,'Smelter Reference List'!$E:$E,0)))</f>
        <v/>
      </c>
      <c r="C718" s="298" t="str">
        <f>IF(LEN(A718)=0,"",INDEX('Smelter Reference List'!$C:$C,MATCH($A718,'Smelter Reference List'!$E:$E,0)))</f>
        <v/>
      </c>
      <c r="D718" s="292" t="str">
        <f ca="1">IF(ISERROR($S718),"",OFFSET('Smelter Reference List'!$C$4,$S718-4,0)&amp;"")</f>
        <v/>
      </c>
      <c r="E718" s="292" t="str">
        <f ca="1">IF(ISERROR($S718),"",OFFSET('Smelter Reference List'!$D$4,$S718-4,0)&amp;"")</f>
        <v/>
      </c>
      <c r="F718" s="292" t="str">
        <f ca="1">IF(ISERROR($S718),"",OFFSET('Smelter Reference List'!$E$4,$S718-4,0))</f>
        <v/>
      </c>
      <c r="G718" s="292" t="str">
        <f ca="1">IF(C718=$U$4,"Enter smelter details", IF(ISERROR($S718),"",OFFSET('Smelter Reference List'!$F$4,$S718-4,0)))</f>
        <v/>
      </c>
      <c r="H718" s="293" t="str">
        <f ca="1">IF(ISERROR($S718),"",OFFSET('Smelter Reference List'!$G$4,$S718-4,0))</f>
        <v/>
      </c>
      <c r="I718" s="294" t="str">
        <f ca="1">IF(ISERROR($S718),"",OFFSET('Smelter Reference List'!$H$4,$S718-4,0))</f>
        <v/>
      </c>
      <c r="J718" s="294" t="str">
        <f ca="1">IF(ISERROR($S718),"",OFFSET('Smelter Reference List'!$I$4,$S718-4,0))</f>
        <v/>
      </c>
      <c r="K718" s="295"/>
      <c r="L718" s="295"/>
      <c r="M718" s="295"/>
      <c r="N718" s="295"/>
      <c r="O718" s="295"/>
      <c r="P718" s="295"/>
      <c r="Q718" s="296"/>
      <c r="R718" s="227"/>
      <c r="S718" s="228" t="e">
        <f>IF(C718="",NA(),MATCH($B718&amp;$C718,'Smelter Reference List'!$J:$J,0))</f>
        <v>#N/A</v>
      </c>
      <c r="T718" s="229"/>
      <c r="U718" s="229">
        <f t="shared" ca="1" si="24"/>
        <v>0</v>
      </c>
      <c r="V718" s="229"/>
      <c r="W718" s="229"/>
      <c r="Y718" s="223" t="str">
        <f t="shared" si="25"/>
        <v/>
      </c>
    </row>
    <row r="719" spans="1:25" s="223" customFormat="1" ht="20.25">
      <c r="A719" s="291"/>
      <c r="B719" s="292" t="str">
        <f>IF(LEN(A719)=0,"",INDEX('Smelter Reference List'!$A:$A,MATCH($A719,'Smelter Reference List'!$E:$E,0)))</f>
        <v/>
      </c>
      <c r="C719" s="298" t="str">
        <f>IF(LEN(A719)=0,"",INDEX('Smelter Reference List'!$C:$C,MATCH($A719,'Smelter Reference List'!$E:$E,0)))</f>
        <v/>
      </c>
      <c r="D719" s="292" t="str">
        <f ca="1">IF(ISERROR($S719),"",OFFSET('Smelter Reference List'!$C$4,$S719-4,0)&amp;"")</f>
        <v/>
      </c>
      <c r="E719" s="292" t="str">
        <f ca="1">IF(ISERROR($S719),"",OFFSET('Smelter Reference List'!$D$4,$S719-4,0)&amp;"")</f>
        <v/>
      </c>
      <c r="F719" s="292" t="str">
        <f ca="1">IF(ISERROR($S719),"",OFFSET('Smelter Reference List'!$E$4,$S719-4,0))</f>
        <v/>
      </c>
      <c r="G719" s="292" t="str">
        <f ca="1">IF(C719=$U$4,"Enter smelter details", IF(ISERROR($S719),"",OFFSET('Smelter Reference List'!$F$4,$S719-4,0)))</f>
        <v/>
      </c>
      <c r="H719" s="293" t="str">
        <f ca="1">IF(ISERROR($S719),"",OFFSET('Smelter Reference List'!$G$4,$S719-4,0))</f>
        <v/>
      </c>
      <c r="I719" s="294" t="str">
        <f ca="1">IF(ISERROR($S719),"",OFFSET('Smelter Reference List'!$H$4,$S719-4,0))</f>
        <v/>
      </c>
      <c r="J719" s="294" t="str">
        <f ca="1">IF(ISERROR($S719),"",OFFSET('Smelter Reference List'!$I$4,$S719-4,0))</f>
        <v/>
      </c>
      <c r="K719" s="295"/>
      <c r="L719" s="295"/>
      <c r="M719" s="295"/>
      <c r="N719" s="295"/>
      <c r="O719" s="295"/>
      <c r="P719" s="295"/>
      <c r="Q719" s="296"/>
      <c r="R719" s="227"/>
      <c r="S719" s="228" t="e">
        <f>IF(C719="",NA(),MATCH($B719&amp;$C719,'Smelter Reference List'!$J:$J,0))</f>
        <v>#N/A</v>
      </c>
      <c r="T719" s="229"/>
      <c r="U719" s="229">
        <f t="shared" ca="1" si="24"/>
        <v>0</v>
      </c>
      <c r="V719" s="229"/>
      <c r="W719" s="229"/>
      <c r="Y719" s="223" t="str">
        <f t="shared" si="25"/>
        <v/>
      </c>
    </row>
    <row r="720" spans="1:25" s="223" customFormat="1" ht="20.25">
      <c r="A720" s="291"/>
      <c r="B720" s="292" t="str">
        <f>IF(LEN(A720)=0,"",INDEX('Smelter Reference List'!$A:$A,MATCH($A720,'Smelter Reference List'!$E:$E,0)))</f>
        <v/>
      </c>
      <c r="C720" s="298" t="str">
        <f>IF(LEN(A720)=0,"",INDEX('Smelter Reference List'!$C:$C,MATCH($A720,'Smelter Reference List'!$E:$E,0)))</f>
        <v/>
      </c>
      <c r="D720" s="292" t="str">
        <f ca="1">IF(ISERROR($S720),"",OFFSET('Smelter Reference List'!$C$4,$S720-4,0)&amp;"")</f>
        <v/>
      </c>
      <c r="E720" s="292" t="str">
        <f ca="1">IF(ISERROR($S720),"",OFFSET('Smelter Reference List'!$D$4,$S720-4,0)&amp;"")</f>
        <v/>
      </c>
      <c r="F720" s="292" t="str">
        <f ca="1">IF(ISERROR($S720),"",OFFSET('Smelter Reference List'!$E$4,$S720-4,0))</f>
        <v/>
      </c>
      <c r="G720" s="292" t="str">
        <f ca="1">IF(C720=$U$4,"Enter smelter details", IF(ISERROR($S720),"",OFFSET('Smelter Reference List'!$F$4,$S720-4,0)))</f>
        <v/>
      </c>
      <c r="H720" s="293" t="str">
        <f ca="1">IF(ISERROR($S720),"",OFFSET('Smelter Reference List'!$G$4,$S720-4,0))</f>
        <v/>
      </c>
      <c r="I720" s="294" t="str">
        <f ca="1">IF(ISERROR($S720),"",OFFSET('Smelter Reference List'!$H$4,$S720-4,0))</f>
        <v/>
      </c>
      <c r="J720" s="294" t="str">
        <f ca="1">IF(ISERROR($S720),"",OFFSET('Smelter Reference List'!$I$4,$S720-4,0))</f>
        <v/>
      </c>
      <c r="K720" s="295"/>
      <c r="L720" s="295"/>
      <c r="M720" s="295"/>
      <c r="N720" s="295"/>
      <c r="O720" s="295"/>
      <c r="P720" s="295"/>
      <c r="Q720" s="296"/>
      <c r="R720" s="227"/>
      <c r="S720" s="228" t="e">
        <f>IF(C720="",NA(),MATCH($B720&amp;$C720,'Smelter Reference List'!$J:$J,0))</f>
        <v>#N/A</v>
      </c>
      <c r="T720" s="229"/>
      <c r="U720" s="229">
        <f t="shared" ca="1" si="24"/>
        <v>0</v>
      </c>
      <c r="V720" s="229"/>
      <c r="W720" s="229"/>
      <c r="Y720" s="223" t="str">
        <f t="shared" si="25"/>
        <v/>
      </c>
    </row>
    <row r="721" spans="1:25" s="223" customFormat="1" ht="20.25">
      <c r="A721" s="291"/>
      <c r="B721" s="292" t="str">
        <f>IF(LEN(A721)=0,"",INDEX('Smelter Reference List'!$A:$A,MATCH($A721,'Smelter Reference List'!$E:$E,0)))</f>
        <v/>
      </c>
      <c r="C721" s="298" t="str">
        <f>IF(LEN(A721)=0,"",INDEX('Smelter Reference List'!$C:$C,MATCH($A721,'Smelter Reference List'!$E:$E,0)))</f>
        <v/>
      </c>
      <c r="D721" s="292" t="str">
        <f ca="1">IF(ISERROR($S721),"",OFFSET('Smelter Reference List'!$C$4,$S721-4,0)&amp;"")</f>
        <v/>
      </c>
      <c r="E721" s="292" t="str">
        <f ca="1">IF(ISERROR($S721),"",OFFSET('Smelter Reference List'!$D$4,$S721-4,0)&amp;"")</f>
        <v/>
      </c>
      <c r="F721" s="292" t="str">
        <f ca="1">IF(ISERROR($S721),"",OFFSET('Smelter Reference List'!$E$4,$S721-4,0))</f>
        <v/>
      </c>
      <c r="G721" s="292" t="str">
        <f ca="1">IF(C721=$U$4,"Enter smelter details", IF(ISERROR($S721),"",OFFSET('Smelter Reference List'!$F$4,$S721-4,0)))</f>
        <v/>
      </c>
      <c r="H721" s="293" t="str">
        <f ca="1">IF(ISERROR($S721),"",OFFSET('Smelter Reference List'!$G$4,$S721-4,0))</f>
        <v/>
      </c>
      <c r="I721" s="294" t="str">
        <f ca="1">IF(ISERROR($S721),"",OFFSET('Smelter Reference List'!$H$4,$S721-4,0))</f>
        <v/>
      </c>
      <c r="J721" s="294" t="str">
        <f ca="1">IF(ISERROR($S721),"",OFFSET('Smelter Reference List'!$I$4,$S721-4,0))</f>
        <v/>
      </c>
      <c r="K721" s="295"/>
      <c r="L721" s="295"/>
      <c r="M721" s="295"/>
      <c r="N721" s="295"/>
      <c r="O721" s="295"/>
      <c r="P721" s="295"/>
      <c r="Q721" s="296"/>
      <c r="R721" s="227"/>
      <c r="S721" s="228" t="e">
        <f>IF(C721="",NA(),MATCH($B721&amp;$C721,'Smelter Reference List'!$J:$J,0))</f>
        <v>#N/A</v>
      </c>
      <c r="T721" s="229"/>
      <c r="U721" s="229">
        <f t="shared" ca="1" si="24"/>
        <v>0</v>
      </c>
      <c r="V721" s="229"/>
      <c r="W721" s="229"/>
      <c r="Y721" s="223" t="str">
        <f t="shared" si="25"/>
        <v/>
      </c>
    </row>
    <row r="722" spans="1:25" s="223" customFormat="1" ht="20.25">
      <c r="A722" s="291"/>
      <c r="B722" s="292" t="str">
        <f>IF(LEN(A722)=0,"",INDEX('Smelter Reference List'!$A:$A,MATCH($A722,'Smelter Reference List'!$E:$E,0)))</f>
        <v/>
      </c>
      <c r="C722" s="298" t="str">
        <f>IF(LEN(A722)=0,"",INDEX('Smelter Reference List'!$C:$C,MATCH($A722,'Smelter Reference List'!$E:$E,0)))</f>
        <v/>
      </c>
      <c r="D722" s="292" t="str">
        <f ca="1">IF(ISERROR($S722),"",OFFSET('Smelter Reference List'!$C$4,$S722-4,0)&amp;"")</f>
        <v/>
      </c>
      <c r="E722" s="292" t="str">
        <f ca="1">IF(ISERROR($S722),"",OFFSET('Smelter Reference List'!$D$4,$S722-4,0)&amp;"")</f>
        <v/>
      </c>
      <c r="F722" s="292" t="str">
        <f ca="1">IF(ISERROR($S722),"",OFFSET('Smelter Reference List'!$E$4,$S722-4,0))</f>
        <v/>
      </c>
      <c r="G722" s="292" t="str">
        <f ca="1">IF(C722=$U$4,"Enter smelter details", IF(ISERROR($S722),"",OFFSET('Smelter Reference List'!$F$4,$S722-4,0)))</f>
        <v/>
      </c>
      <c r="H722" s="293" t="str">
        <f ca="1">IF(ISERROR($S722),"",OFFSET('Smelter Reference List'!$G$4,$S722-4,0))</f>
        <v/>
      </c>
      <c r="I722" s="294" t="str">
        <f ca="1">IF(ISERROR($S722),"",OFFSET('Smelter Reference List'!$H$4,$S722-4,0))</f>
        <v/>
      </c>
      <c r="J722" s="294" t="str">
        <f ca="1">IF(ISERROR($S722),"",OFFSET('Smelter Reference List'!$I$4,$S722-4,0))</f>
        <v/>
      </c>
      <c r="K722" s="295"/>
      <c r="L722" s="295"/>
      <c r="M722" s="295"/>
      <c r="N722" s="295"/>
      <c r="O722" s="295"/>
      <c r="P722" s="295"/>
      <c r="Q722" s="296"/>
      <c r="R722" s="227"/>
      <c r="S722" s="228" t="e">
        <f>IF(C722="",NA(),MATCH($B722&amp;$C722,'Smelter Reference List'!$J:$J,0))</f>
        <v>#N/A</v>
      </c>
      <c r="T722" s="229"/>
      <c r="U722" s="229">
        <f t="shared" ca="1" si="24"/>
        <v>0</v>
      </c>
      <c r="V722" s="229"/>
      <c r="W722" s="229"/>
      <c r="Y722" s="223" t="str">
        <f t="shared" si="25"/>
        <v/>
      </c>
    </row>
    <row r="723" spans="1:25" s="223" customFormat="1" ht="20.25">
      <c r="A723" s="291"/>
      <c r="B723" s="292" t="str">
        <f>IF(LEN(A723)=0,"",INDEX('Smelter Reference List'!$A:$A,MATCH($A723,'Smelter Reference List'!$E:$E,0)))</f>
        <v/>
      </c>
      <c r="C723" s="298" t="str">
        <f>IF(LEN(A723)=0,"",INDEX('Smelter Reference List'!$C:$C,MATCH($A723,'Smelter Reference List'!$E:$E,0)))</f>
        <v/>
      </c>
      <c r="D723" s="292" t="str">
        <f ca="1">IF(ISERROR($S723),"",OFFSET('Smelter Reference List'!$C$4,$S723-4,0)&amp;"")</f>
        <v/>
      </c>
      <c r="E723" s="292" t="str">
        <f ca="1">IF(ISERROR($S723),"",OFFSET('Smelter Reference List'!$D$4,$S723-4,0)&amp;"")</f>
        <v/>
      </c>
      <c r="F723" s="292" t="str">
        <f ca="1">IF(ISERROR($S723),"",OFFSET('Smelter Reference List'!$E$4,$S723-4,0))</f>
        <v/>
      </c>
      <c r="G723" s="292" t="str">
        <f ca="1">IF(C723=$U$4,"Enter smelter details", IF(ISERROR($S723),"",OFFSET('Smelter Reference List'!$F$4,$S723-4,0)))</f>
        <v/>
      </c>
      <c r="H723" s="293" t="str">
        <f ca="1">IF(ISERROR($S723),"",OFFSET('Smelter Reference List'!$G$4,$S723-4,0))</f>
        <v/>
      </c>
      <c r="I723" s="294" t="str">
        <f ca="1">IF(ISERROR($S723),"",OFFSET('Smelter Reference List'!$H$4,$S723-4,0))</f>
        <v/>
      </c>
      <c r="J723" s="294" t="str">
        <f ca="1">IF(ISERROR($S723),"",OFFSET('Smelter Reference List'!$I$4,$S723-4,0))</f>
        <v/>
      </c>
      <c r="K723" s="295"/>
      <c r="L723" s="295"/>
      <c r="M723" s="295"/>
      <c r="N723" s="295"/>
      <c r="O723" s="295"/>
      <c r="P723" s="295"/>
      <c r="Q723" s="296"/>
      <c r="R723" s="227"/>
      <c r="S723" s="228" t="e">
        <f>IF(C723="",NA(),MATCH($B723&amp;$C723,'Smelter Reference List'!$J:$J,0))</f>
        <v>#N/A</v>
      </c>
      <c r="T723" s="229"/>
      <c r="U723" s="229">
        <f t="shared" ca="1" si="24"/>
        <v>0</v>
      </c>
      <c r="V723" s="229"/>
      <c r="W723" s="229"/>
      <c r="Y723" s="223" t="str">
        <f t="shared" si="25"/>
        <v/>
      </c>
    </row>
    <row r="724" spans="1:25" s="223" customFormat="1" ht="20.25">
      <c r="A724" s="291"/>
      <c r="B724" s="292" t="str">
        <f>IF(LEN(A724)=0,"",INDEX('Smelter Reference List'!$A:$A,MATCH($A724,'Smelter Reference List'!$E:$E,0)))</f>
        <v/>
      </c>
      <c r="C724" s="298" t="str">
        <f>IF(LEN(A724)=0,"",INDEX('Smelter Reference List'!$C:$C,MATCH($A724,'Smelter Reference List'!$E:$E,0)))</f>
        <v/>
      </c>
      <c r="D724" s="292" t="str">
        <f ca="1">IF(ISERROR($S724),"",OFFSET('Smelter Reference List'!$C$4,$S724-4,0)&amp;"")</f>
        <v/>
      </c>
      <c r="E724" s="292" t="str">
        <f ca="1">IF(ISERROR($S724),"",OFFSET('Smelter Reference List'!$D$4,$S724-4,0)&amp;"")</f>
        <v/>
      </c>
      <c r="F724" s="292" t="str">
        <f ca="1">IF(ISERROR($S724),"",OFFSET('Smelter Reference List'!$E$4,$S724-4,0))</f>
        <v/>
      </c>
      <c r="G724" s="292" t="str">
        <f ca="1">IF(C724=$U$4,"Enter smelter details", IF(ISERROR($S724),"",OFFSET('Smelter Reference List'!$F$4,$S724-4,0)))</f>
        <v/>
      </c>
      <c r="H724" s="293" t="str">
        <f ca="1">IF(ISERROR($S724),"",OFFSET('Smelter Reference List'!$G$4,$S724-4,0))</f>
        <v/>
      </c>
      <c r="I724" s="294" t="str">
        <f ca="1">IF(ISERROR($S724),"",OFFSET('Smelter Reference List'!$H$4,$S724-4,0))</f>
        <v/>
      </c>
      <c r="J724" s="294" t="str">
        <f ca="1">IF(ISERROR($S724),"",OFFSET('Smelter Reference List'!$I$4,$S724-4,0))</f>
        <v/>
      </c>
      <c r="K724" s="295"/>
      <c r="L724" s="295"/>
      <c r="M724" s="295"/>
      <c r="N724" s="295"/>
      <c r="O724" s="295"/>
      <c r="P724" s="295"/>
      <c r="Q724" s="296"/>
      <c r="R724" s="227"/>
      <c r="S724" s="228" t="e">
        <f>IF(C724="",NA(),MATCH($B724&amp;$C724,'Smelter Reference List'!$J:$J,0))</f>
        <v>#N/A</v>
      </c>
      <c r="T724" s="229"/>
      <c r="U724" s="229">
        <f t="shared" ca="1" si="24"/>
        <v>0</v>
      </c>
      <c r="V724" s="229"/>
      <c r="W724" s="229"/>
      <c r="Y724" s="223" t="str">
        <f t="shared" si="25"/>
        <v/>
      </c>
    </row>
    <row r="725" spans="1:25" s="223" customFormat="1" ht="20.25">
      <c r="A725" s="291"/>
      <c r="B725" s="292" t="str">
        <f>IF(LEN(A725)=0,"",INDEX('Smelter Reference List'!$A:$A,MATCH($A725,'Smelter Reference List'!$E:$E,0)))</f>
        <v/>
      </c>
      <c r="C725" s="298" t="str">
        <f>IF(LEN(A725)=0,"",INDEX('Smelter Reference List'!$C:$C,MATCH($A725,'Smelter Reference List'!$E:$E,0)))</f>
        <v/>
      </c>
      <c r="D725" s="292" t="str">
        <f ca="1">IF(ISERROR($S725),"",OFFSET('Smelter Reference List'!$C$4,$S725-4,0)&amp;"")</f>
        <v/>
      </c>
      <c r="E725" s="292" t="str">
        <f ca="1">IF(ISERROR($S725),"",OFFSET('Smelter Reference List'!$D$4,$S725-4,0)&amp;"")</f>
        <v/>
      </c>
      <c r="F725" s="292" t="str">
        <f ca="1">IF(ISERROR($S725),"",OFFSET('Smelter Reference List'!$E$4,$S725-4,0))</f>
        <v/>
      </c>
      <c r="G725" s="292" t="str">
        <f ca="1">IF(C725=$U$4,"Enter smelter details", IF(ISERROR($S725),"",OFFSET('Smelter Reference List'!$F$4,$S725-4,0)))</f>
        <v/>
      </c>
      <c r="H725" s="293" t="str">
        <f ca="1">IF(ISERROR($S725),"",OFFSET('Smelter Reference List'!$G$4,$S725-4,0))</f>
        <v/>
      </c>
      <c r="I725" s="294" t="str">
        <f ca="1">IF(ISERROR($S725),"",OFFSET('Smelter Reference List'!$H$4,$S725-4,0))</f>
        <v/>
      </c>
      <c r="J725" s="294" t="str">
        <f ca="1">IF(ISERROR($S725),"",OFFSET('Smelter Reference List'!$I$4,$S725-4,0))</f>
        <v/>
      </c>
      <c r="K725" s="295"/>
      <c r="L725" s="295"/>
      <c r="M725" s="295"/>
      <c r="N725" s="295"/>
      <c r="O725" s="295"/>
      <c r="P725" s="295"/>
      <c r="Q725" s="296"/>
      <c r="R725" s="227"/>
      <c r="S725" s="228" t="e">
        <f>IF(C725="",NA(),MATCH($B725&amp;$C725,'Smelter Reference List'!$J:$J,0))</f>
        <v>#N/A</v>
      </c>
      <c r="T725" s="229"/>
      <c r="U725" s="229">
        <f t="shared" ca="1" si="24"/>
        <v>0</v>
      </c>
      <c r="V725" s="229"/>
      <c r="W725" s="229"/>
      <c r="Y725" s="223" t="str">
        <f t="shared" si="25"/>
        <v/>
      </c>
    </row>
    <row r="726" spans="1:25" s="223" customFormat="1" ht="20.25">
      <c r="A726" s="291"/>
      <c r="B726" s="292" t="str">
        <f>IF(LEN(A726)=0,"",INDEX('Smelter Reference List'!$A:$A,MATCH($A726,'Smelter Reference List'!$E:$E,0)))</f>
        <v/>
      </c>
      <c r="C726" s="298" t="str">
        <f>IF(LEN(A726)=0,"",INDEX('Smelter Reference List'!$C:$C,MATCH($A726,'Smelter Reference List'!$E:$E,0)))</f>
        <v/>
      </c>
      <c r="D726" s="292" t="str">
        <f ca="1">IF(ISERROR($S726),"",OFFSET('Smelter Reference List'!$C$4,$S726-4,0)&amp;"")</f>
        <v/>
      </c>
      <c r="E726" s="292" t="str">
        <f ca="1">IF(ISERROR($S726),"",OFFSET('Smelter Reference List'!$D$4,$S726-4,0)&amp;"")</f>
        <v/>
      </c>
      <c r="F726" s="292" t="str">
        <f ca="1">IF(ISERROR($S726),"",OFFSET('Smelter Reference List'!$E$4,$S726-4,0))</f>
        <v/>
      </c>
      <c r="G726" s="292" t="str">
        <f ca="1">IF(C726=$U$4,"Enter smelter details", IF(ISERROR($S726),"",OFFSET('Smelter Reference List'!$F$4,$S726-4,0)))</f>
        <v/>
      </c>
      <c r="H726" s="293" t="str">
        <f ca="1">IF(ISERROR($S726),"",OFFSET('Smelter Reference List'!$G$4,$S726-4,0))</f>
        <v/>
      </c>
      <c r="I726" s="294" t="str">
        <f ca="1">IF(ISERROR($S726),"",OFFSET('Smelter Reference List'!$H$4,$S726-4,0))</f>
        <v/>
      </c>
      <c r="J726" s="294" t="str">
        <f ca="1">IF(ISERROR($S726),"",OFFSET('Smelter Reference List'!$I$4,$S726-4,0))</f>
        <v/>
      </c>
      <c r="K726" s="295"/>
      <c r="L726" s="295"/>
      <c r="M726" s="295"/>
      <c r="N726" s="295"/>
      <c r="O726" s="295"/>
      <c r="P726" s="295"/>
      <c r="Q726" s="296"/>
      <c r="R726" s="227"/>
      <c r="S726" s="228" t="e">
        <f>IF(C726="",NA(),MATCH($B726&amp;$C726,'Smelter Reference List'!$J:$J,0))</f>
        <v>#N/A</v>
      </c>
      <c r="T726" s="229"/>
      <c r="U726" s="229">
        <f t="shared" ca="1" si="24"/>
        <v>0</v>
      </c>
      <c r="V726" s="229"/>
      <c r="W726" s="229"/>
      <c r="Y726" s="223" t="str">
        <f t="shared" si="25"/>
        <v/>
      </c>
    </row>
    <row r="727" spans="1:25" s="223" customFormat="1" ht="20.25">
      <c r="A727" s="291"/>
      <c r="B727" s="292" t="str">
        <f>IF(LEN(A727)=0,"",INDEX('Smelter Reference List'!$A:$A,MATCH($A727,'Smelter Reference List'!$E:$E,0)))</f>
        <v/>
      </c>
      <c r="C727" s="298" t="str">
        <f>IF(LEN(A727)=0,"",INDEX('Smelter Reference List'!$C:$C,MATCH($A727,'Smelter Reference List'!$E:$E,0)))</f>
        <v/>
      </c>
      <c r="D727" s="292" t="str">
        <f ca="1">IF(ISERROR($S727),"",OFFSET('Smelter Reference List'!$C$4,$S727-4,0)&amp;"")</f>
        <v/>
      </c>
      <c r="E727" s="292" t="str">
        <f ca="1">IF(ISERROR($S727),"",OFFSET('Smelter Reference List'!$D$4,$S727-4,0)&amp;"")</f>
        <v/>
      </c>
      <c r="F727" s="292" t="str">
        <f ca="1">IF(ISERROR($S727),"",OFFSET('Smelter Reference List'!$E$4,$S727-4,0))</f>
        <v/>
      </c>
      <c r="G727" s="292" t="str">
        <f ca="1">IF(C727=$U$4,"Enter smelter details", IF(ISERROR($S727),"",OFFSET('Smelter Reference List'!$F$4,$S727-4,0)))</f>
        <v/>
      </c>
      <c r="H727" s="293" t="str">
        <f ca="1">IF(ISERROR($S727),"",OFFSET('Smelter Reference List'!$G$4,$S727-4,0))</f>
        <v/>
      </c>
      <c r="I727" s="294" t="str">
        <f ca="1">IF(ISERROR($S727),"",OFFSET('Smelter Reference List'!$H$4,$S727-4,0))</f>
        <v/>
      </c>
      <c r="J727" s="294" t="str">
        <f ca="1">IF(ISERROR($S727),"",OFFSET('Smelter Reference List'!$I$4,$S727-4,0))</f>
        <v/>
      </c>
      <c r="K727" s="295"/>
      <c r="L727" s="295"/>
      <c r="M727" s="295"/>
      <c r="N727" s="295"/>
      <c r="O727" s="295"/>
      <c r="P727" s="295"/>
      <c r="Q727" s="296"/>
      <c r="R727" s="227"/>
      <c r="S727" s="228" t="e">
        <f>IF(C727="",NA(),MATCH($B727&amp;$C727,'Smelter Reference List'!$J:$J,0))</f>
        <v>#N/A</v>
      </c>
      <c r="T727" s="229"/>
      <c r="U727" s="229">
        <f t="shared" ca="1" si="24"/>
        <v>0</v>
      </c>
      <c r="V727" s="229"/>
      <c r="W727" s="229"/>
      <c r="Y727" s="223" t="str">
        <f t="shared" si="25"/>
        <v/>
      </c>
    </row>
    <row r="728" spans="1:25" s="223" customFormat="1" ht="20.25">
      <c r="A728" s="291"/>
      <c r="B728" s="292" t="str">
        <f>IF(LEN(A728)=0,"",INDEX('Smelter Reference List'!$A:$A,MATCH($A728,'Smelter Reference List'!$E:$E,0)))</f>
        <v/>
      </c>
      <c r="C728" s="298" t="str">
        <f>IF(LEN(A728)=0,"",INDEX('Smelter Reference List'!$C:$C,MATCH($A728,'Smelter Reference List'!$E:$E,0)))</f>
        <v/>
      </c>
      <c r="D728" s="292" t="str">
        <f ca="1">IF(ISERROR($S728),"",OFFSET('Smelter Reference List'!$C$4,$S728-4,0)&amp;"")</f>
        <v/>
      </c>
      <c r="E728" s="292" t="str">
        <f ca="1">IF(ISERROR($S728),"",OFFSET('Smelter Reference List'!$D$4,$S728-4,0)&amp;"")</f>
        <v/>
      </c>
      <c r="F728" s="292" t="str">
        <f ca="1">IF(ISERROR($S728),"",OFFSET('Smelter Reference List'!$E$4,$S728-4,0))</f>
        <v/>
      </c>
      <c r="G728" s="292" t="str">
        <f ca="1">IF(C728=$U$4,"Enter smelter details", IF(ISERROR($S728),"",OFFSET('Smelter Reference List'!$F$4,$S728-4,0)))</f>
        <v/>
      </c>
      <c r="H728" s="293" t="str">
        <f ca="1">IF(ISERROR($S728),"",OFFSET('Smelter Reference List'!$G$4,$S728-4,0))</f>
        <v/>
      </c>
      <c r="I728" s="294" t="str">
        <f ca="1">IF(ISERROR($S728),"",OFFSET('Smelter Reference List'!$H$4,$S728-4,0))</f>
        <v/>
      </c>
      <c r="J728" s="294" t="str">
        <f ca="1">IF(ISERROR($S728),"",OFFSET('Smelter Reference List'!$I$4,$S728-4,0))</f>
        <v/>
      </c>
      <c r="K728" s="295"/>
      <c r="L728" s="295"/>
      <c r="M728" s="295"/>
      <c r="N728" s="295"/>
      <c r="O728" s="295"/>
      <c r="P728" s="295"/>
      <c r="Q728" s="296"/>
      <c r="R728" s="227"/>
      <c r="S728" s="228" t="e">
        <f>IF(C728="",NA(),MATCH($B728&amp;$C728,'Smelter Reference List'!$J:$J,0))</f>
        <v>#N/A</v>
      </c>
      <c r="T728" s="229"/>
      <c r="U728" s="229">
        <f t="shared" ca="1" si="24"/>
        <v>0</v>
      </c>
      <c r="V728" s="229"/>
      <c r="W728" s="229"/>
      <c r="Y728" s="223" t="str">
        <f t="shared" si="25"/>
        <v/>
      </c>
    </row>
    <row r="729" spans="1:25" s="223" customFormat="1" ht="20.25">
      <c r="A729" s="291"/>
      <c r="B729" s="292" t="str">
        <f>IF(LEN(A729)=0,"",INDEX('Smelter Reference List'!$A:$A,MATCH($A729,'Smelter Reference List'!$E:$E,0)))</f>
        <v/>
      </c>
      <c r="C729" s="298" t="str">
        <f>IF(LEN(A729)=0,"",INDEX('Smelter Reference List'!$C:$C,MATCH($A729,'Smelter Reference List'!$E:$E,0)))</f>
        <v/>
      </c>
      <c r="D729" s="292" t="str">
        <f ca="1">IF(ISERROR($S729),"",OFFSET('Smelter Reference List'!$C$4,$S729-4,0)&amp;"")</f>
        <v/>
      </c>
      <c r="E729" s="292" t="str">
        <f ca="1">IF(ISERROR($S729),"",OFFSET('Smelter Reference List'!$D$4,$S729-4,0)&amp;"")</f>
        <v/>
      </c>
      <c r="F729" s="292" t="str">
        <f ca="1">IF(ISERROR($S729),"",OFFSET('Smelter Reference List'!$E$4,$S729-4,0))</f>
        <v/>
      </c>
      <c r="G729" s="292" t="str">
        <f ca="1">IF(C729=$U$4,"Enter smelter details", IF(ISERROR($S729),"",OFFSET('Smelter Reference List'!$F$4,$S729-4,0)))</f>
        <v/>
      </c>
      <c r="H729" s="293" t="str">
        <f ca="1">IF(ISERROR($S729),"",OFFSET('Smelter Reference List'!$G$4,$S729-4,0))</f>
        <v/>
      </c>
      <c r="I729" s="294" t="str">
        <f ca="1">IF(ISERROR($S729),"",OFFSET('Smelter Reference List'!$H$4,$S729-4,0))</f>
        <v/>
      </c>
      <c r="J729" s="294" t="str">
        <f ca="1">IF(ISERROR($S729),"",OFFSET('Smelter Reference List'!$I$4,$S729-4,0))</f>
        <v/>
      </c>
      <c r="K729" s="295"/>
      <c r="L729" s="295"/>
      <c r="M729" s="295"/>
      <c r="N729" s="295"/>
      <c r="O729" s="295"/>
      <c r="P729" s="295"/>
      <c r="Q729" s="296"/>
      <c r="R729" s="227"/>
      <c r="S729" s="228" t="e">
        <f>IF(C729="",NA(),MATCH($B729&amp;$C729,'Smelter Reference List'!$J:$J,0))</f>
        <v>#N/A</v>
      </c>
      <c r="T729" s="229"/>
      <c r="U729" s="229">
        <f t="shared" ca="1" si="24"/>
        <v>0</v>
      </c>
      <c r="V729" s="229"/>
      <c r="W729" s="229"/>
      <c r="Y729" s="223" t="str">
        <f t="shared" si="25"/>
        <v/>
      </c>
    </row>
    <row r="730" spans="1:25" s="223" customFormat="1" ht="20.25">
      <c r="A730" s="291"/>
      <c r="B730" s="292" t="str">
        <f>IF(LEN(A730)=0,"",INDEX('Smelter Reference List'!$A:$A,MATCH($A730,'Smelter Reference List'!$E:$E,0)))</f>
        <v/>
      </c>
      <c r="C730" s="298" t="str">
        <f>IF(LEN(A730)=0,"",INDEX('Smelter Reference List'!$C:$C,MATCH($A730,'Smelter Reference List'!$E:$E,0)))</f>
        <v/>
      </c>
      <c r="D730" s="292" t="str">
        <f ca="1">IF(ISERROR($S730),"",OFFSET('Smelter Reference List'!$C$4,$S730-4,0)&amp;"")</f>
        <v/>
      </c>
      <c r="E730" s="292" t="str">
        <f ca="1">IF(ISERROR($S730),"",OFFSET('Smelter Reference List'!$D$4,$S730-4,0)&amp;"")</f>
        <v/>
      </c>
      <c r="F730" s="292" t="str">
        <f ca="1">IF(ISERROR($S730),"",OFFSET('Smelter Reference List'!$E$4,$S730-4,0))</f>
        <v/>
      </c>
      <c r="G730" s="292" t="str">
        <f ca="1">IF(C730=$U$4,"Enter smelter details", IF(ISERROR($S730),"",OFFSET('Smelter Reference List'!$F$4,$S730-4,0)))</f>
        <v/>
      </c>
      <c r="H730" s="293" t="str">
        <f ca="1">IF(ISERROR($S730),"",OFFSET('Smelter Reference List'!$G$4,$S730-4,0))</f>
        <v/>
      </c>
      <c r="I730" s="294" t="str">
        <f ca="1">IF(ISERROR($S730),"",OFFSET('Smelter Reference List'!$H$4,$S730-4,0))</f>
        <v/>
      </c>
      <c r="J730" s="294" t="str">
        <f ca="1">IF(ISERROR($S730),"",OFFSET('Smelter Reference List'!$I$4,$S730-4,0))</f>
        <v/>
      </c>
      <c r="K730" s="295"/>
      <c r="L730" s="295"/>
      <c r="M730" s="295"/>
      <c r="N730" s="295"/>
      <c r="O730" s="295"/>
      <c r="P730" s="295"/>
      <c r="Q730" s="296"/>
      <c r="R730" s="227"/>
      <c r="S730" s="228" t="e">
        <f>IF(C730="",NA(),MATCH($B730&amp;$C730,'Smelter Reference List'!$J:$J,0))</f>
        <v>#N/A</v>
      </c>
      <c r="T730" s="229"/>
      <c r="U730" s="229">
        <f t="shared" ca="1" si="24"/>
        <v>0</v>
      </c>
      <c r="V730" s="229"/>
      <c r="W730" s="229"/>
      <c r="Y730" s="223" t="str">
        <f t="shared" si="25"/>
        <v/>
      </c>
    </row>
    <row r="731" spans="1:25" s="223" customFormat="1" ht="20.25">
      <c r="A731" s="291"/>
      <c r="B731" s="292" t="str">
        <f>IF(LEN(A731)=0,"",INDEX('Smelter Reference List'!$A:$A,MATCH($A731,'Smelter Reference List'!$E:$E,0)))</f>
        <v/>
      </c>
      <c r="C731" s="298" t="str">
        <f>IF(LEN(A731)=0,"",INDEX('Smelter Reference List'!$C:$C,MATCH($A731,'Smelter Reference List'!$E:$E,0)))</f>
        <v/>
      </c>
      <c r="D731" s="292" t="str">
        <f ca="1">IF(ISERROR($S731),"",OFFSET('Smelter Reference List'!$C$4,$S731-4,0)&amp;"")</f>
        <v/>
      </c>
      <c r="E731" s="292" t="str">
        <f ca="1">IF(ISERROR($S731),"",OFFSET('Smelter Reference List'!$D$4,$S731-4,0)&amp;"")</f>
        <v/>
      </c>
      <c r="F731" s="292" t="str">
        <f ca="1">IF(ISERROR($S731),"",OFFSET('Smelter Reference List'!$E$4,$S731-4,0))</f>
        <v/>
      </c>
      <c r="G731" s="292" t="str">
        <f ca="1">IF(C731=$U$4,"Enter smelter details", IF(ISERROR($S731),"",OFFSET('Smelter Reference List'!$F$4,$S731-4,0)))</f>
        <v/>
      </c>
      <c r="H731" s="293" t="str">
        <f ca="1">IF(ISERROR($S731),"",OFFSET('Smelter Reference List'!$G$4,$S731-4,0))</f>
        <v/>
      </c>
      <c r="I731" s="294" t="str">
        <f ca="1">IF(ISERROR($S731),"",OFFSET('Smelter Reference List'!$H$4,$S731-4,0))</f>
        <v/>
      </c>
      <c r="J731" s="294" t="str">
        <f ca="1">IF(ISERROR($S731),"",OFFSET('Smelter Reference List'!$I$4,$S731-4,0))</f>
        <v/>
      </c>
      <c r="K731" s="295"/>
      <c r="L731" s="295"/>
      <c r="M731" s="295"/>
      <c r="N731" s="295"/>
      <c r="O731" s="295"/>
      <c r="P731" s="295"/>
      <c r="Q731" s="296"/>
      <c r="R731" s="227"/>
      <c r="S731" s="228" t="e">
        <f>IF(C731="",NA(),MATCH($B731&amp;$C731,'Smelter Reference List'!$J:$J,0))</f>
        <v>#N/A</v>
      </c>
      <c r="T731" s="229"/>
      <c r="U731" s="229">
        <f t="shared" ca="1" si="24"/>
        <v>0</v>
      </c>
      <c r="V731" s="229"/>
      <c r="W731" s="229"/>
      <c r="Y731" s="223" t="str">
        <f t="shared" si="25"/>
        <v/>
      </c>
    </row>
    <row r="732" spans="1:25" s="223" customFormat="1" ht="20.25">
      <c r="A732" s="291"/>
      <c r="B732" s="292" t="str">
        <f>IF(LEN(A732)=0,"",INDEX('Smelter Reference List'!$A:$A,MATCH($A732,'Smelter Reference List'!$E:$E,0)))</f>
        <v/>
      </c>
      <c r="C732" s="298" t="str">
        <f>IF(LEN(A732)=0,"",INDEX('Smelter Reference List'!$C:$C,MATCH($A732,'Smelter Reference List'!$E:$E,0)))</f>
        <v/>
      </c>
      <c r="D732" s="292" t="str">
        <f ca="1">IF(ISERROR($S732),"",OFFSET('Smelter Reference List'!$C$4,$S732-4,0)&amp;"")</f>
        <v/>
      </c>
      <c r="E732" s="292" t="str">
        <f ca="1">IF(ISERROR($S732),"",OFFSET('Smelter Reference List'!$D$4,$S732-4,0)&amp;"")</f>
        <v/>
      </c>
      <c r="F732" s="292" t="str">
        <f ca="1">IF(ISERROR($S732),"",OFFSET('Smelter Reference List'!$E$4,$S732-4,0))</f>
        <v/>
      </c>
      <c r="G732" s="292" t="str">
        <f ca="1">IF(C732=$U$4,"Enter smelter details", IF(ISERROR($S732),"",OFFSET('Smelter Reference List'!$F$4,$S732-4,0)))</f>
        <v/>
      </c>
      <c r="H732" s="293" t="str">
        <f ca="1">IF(ISERROR($S732),"",OFFSET('Smelter Reference List'!$G$4,$S732-4,0))</f>
        <v/>
      </c>
      <c r="I732" s="294" t="str">
        <f ca="1">IF(ISERROR($S732),"",OFFSET('Smelter Reference List'!$H$4,$S732-4,0))</f>
        <v/>
      </c>
      <c r="J732" s="294" t="str">
        <f ca="1">IF(ISERROR($S732),"",OFFSET('Smelter Reference List'!$I$4,$S732-4,0))</f>
        <v/>
      </c>
      <c r="K732" s="295"/>
      <c r="L732" s="295"/>
      <c r="M732" s="295"/>
      <c r="N732" s="295"/>
      <c r="O732" s="295"/>
      <c r="P732" s="295"/>
      <c r="Q732" s="296"/>
      <c r="R732" s="227"/>
      <c r="S732" s="228" t="e">
        <f>IF(C732="",NA(),MATCH($B732&amp;$C732,'Smelter Reference List'!$J:$J,0))</f>
        <v>#N/A</v>
      </c>
      <c r="T732" s="229"/>
      <c r="U732" s="229">
        <f t="shared" ca="1" si="24"/>
        <v>0</v>
      </c>
      <c r="V732" s="229"/>
      <c r="W732" s="229"/>
      <c r="Y732" s="223" t="str">
        <f t="shared" si="25"/>
        <v/>
      </c>
    </row>
    <row r="733" spans="1:25" s="223" customFormat="1" ht="20.25">
      <c r="A733" s="291"/>
      <c r="B733" s="292" t="str">
        <f>IF(LEN(A733)=0,"",INDEX('Smelter Reference List'!$A:$A,MATCH($A733,'Smelter Reference List'!$E:$E,0)))</f>
        <v/>
      </c>
      <c r="C733" s="298" t="str">
        <f>IF(LEN(A733)=0,"",INDEX('Smelter Reference List'!$C:$C,MATCH($A733,'Smelter Reference List'!$E:$E,0)))</f>
        <v/>
      </c>
      <c r="D733" s="292" t="str">
        <f ca="1">IF(ISERROR($S733),"",OFFSET('Smelter Reference List'!$C$4,$S733-4,0)&amp;"")</f>
        <v/>
      </c>
      <c r="E733" s="292" t="str">
        <f ca="1">IF(ISERROR($S733),"",OFFSET('Smelter Reference List'!$D$4,$S733-4,0)&amp;"")</f>
        <v/>
      </c>
      <c r="F733" s="292" t="str">
        <f ca="1">IF(ISERROR($S733),"",OFFSET('Smelter Reference List'!$E$4,$S733-4,0))</f>
        <v/>
      </c>
      <c r="G733" s="292" t="str">
        <f ca="1">IF(C733=$U$4,"Enter smelter details", IF(ISERROR($S733),"",OFFSET('Smelter Reference List'!$F$4,$S733-4,0)))</f>
        <v/>
      </c>
      <c r="H733" s="293" t="str">
        <f ca="1">IF(ISERROR($S733),"",OFFSET('Smelter Reference List'!$G$4,$S733-4,0))</f>
        <v/>
      </c>
      <c r="I733" s="294" t="str">
        <f ca="1">IF(ISERROR($S733),"",OFFSET('Smelter Reference List'!$H$4,$S733-4,0))</f>
        <v/>
      </c>
      <c r="J733" s="294" t="str">
        <f ca="1">IF(ISERROR($S733),"",OFFSET('Smelter Reference List'!$I$4,$S733-4,0))</f>
        <v/>
      </c>
      <c r="K733" s="295"/>
      <c r="L733" s="295"/>
      <c r="M733" s="295"/>
      <c r="N733" s="295"/>
      <c r="O733" s="295"/>
      <c r="P733" s="295"/>
      <c r="Q733" s="296"/>
      <c r="R733" s="227"/>
      <c r="S733" s="228" t="e">
        <f>IF(C733="",NA(),MATCH($B733&amp;$C733,'Smelter Reference List'!$J:$J,0))</f>
        <v>#N/A</v>
      </c>
      <c r="T733" s="229"/>
      <c r="U733" s="229">
        <f t="shared" ca="1" si="24"/>
        <v>0</v>
      </c>
      <c r="V733" s="229"/>
      <c r="W733" s="229"/>
      <c r="Y733" s="223" t="str">
        <f t="shared" si="25"/>
        <v/>
      </c>
    </row>
    <row r="734" spans="1:25" s="223" customFormat="1" ht="20.25">
      <c r="A734" s="291"/>
      <c r="B734" s="292" t="str">
        <f>IF(LEN(A734)=0,"",INDEX('Smelter Reference List'!$A:$A,MATCH($A734,'Smelter Reference List'!$E:$E,0)))</f>
        <v/>
      </c>
      <c r="C734" s="298" t="str">
        <f>IF(LEN(A734)=0,"",INDEX('Smelter Reference List'!$C:$C,MATCH($A734,'Smelter Reference List'!$E:$E,0)))</f>
        <v/>
      </c>
      <c r="D734" s="292" t="str">
        <f ca="1">IF(ISERROR($S734),"",OFFSET('Smelter Reference List'!$C$4,$S734-4,0)&amp;"")</f>
        <v/>
      </c>
      <c r="E734" s="292" t="str">
        <f ca="1">IF(ISERROR($S734),"",OFFSET('Smelter Reference List'!$D$4,$S734-4,0)&amp;"")</f>
        <v/>
      </c>
      <c r="F734" s="292" t="str">
        <f ca="1">IF(ISERROR($S734),"",OFFSET('Smelter Reference List'!$E$4,$S734-4,0))</f>
        <v/>
      </c>
      <c r="G734" s="292" t="str">
        <f ca="1">IF(C734=$U$4,"Enter smelter details", IF(ISERROR($S734),"",OFFSET('Smelter Reference List'!$F$4,$S734-4,0)))</f>
        <v/>
      </c>
      <c r="H734" s="293" t="str">
        <f ca="1">IF(ISERROR($S734),"",OFFSET('Smelter Reference List'!$G$4,$S734-4,0))</f>
        <v/>
      </c>
      <c r="I734" s="294" t="str">
        <f ca="1">IF(ISERROR($S734),"",OFFSET('Smelter Reference List'!$H$4,$S734-4,0))</f>
        <v/>
      </c>
      <c r="J734" s="294" t="str">
        <f ca="1">IF(ISERROR($S734),"",OFFSET('Smelter Reference List'!$I$4,$S734-4,0))</f>
        <v/>
      </c>
      <c r="K734" s="295"/>
      <c r="L734" s="295"/>
      <c r="M734" s="295"/>
      <c r="N734" s="295"/>
      <c r="O734" s="295"/>
      <c r="P734" s="295"/>
      <c r="Q734" s="296"/>
      <c r="R734" s="227"/>
      <c r="S734" s="228" t="e">
        <f>IF(C734="",NA(),MATCH($B734&amp;$C734,'Smelter Reference List'!$J:$J,0))</f>
        <v>#N/A</v>
      </c>
      <c r="T734" s="229"/>
      <c r="U734" s="229">
        <f t="shared" ca="1" si="24"/>
        <v>0</v>
      </c>
      <c r="V734" s="229"/>
      <c r="W734" s="229"/>
      <c r="Y734" s="223" t="str">
        <f t="shared" si="25"/>
        <v/>
      </c>
    </row>
    <row r="735" spans="1:25" s="223" customFormat="1" ht="20.25">
      <c r="A735" s="291"/>
      <c r="B735" s="292" t="str">
        <f>IF(LEN(A735)=0,"",INDEX('Smelter Reference List'!$A:$A,MATCH($A735,'Smelter Reference List'!$E:$E,0)))</f>
        <v/>
      </c>
      <c r="C735" s="298" t="str">
        <f>IF(LEN(A735)=0,"",INDEX('Smelter Reference List'!$C:$C,MATCH($A735,'Smelter Reference List'!$E:$E,0)))</f>
        <v/>
      </c>
      <c r="D735" s="292" t="str">
        <f ca="1">IF(ISERROR($S735),"",OFFSET('Smelter Reference List'!$C$4,$S735-4,0)&amp;"")</f>
        <v/>
      </c>
      <c r="E735" s="292" t="str">
        <f ca="1">IF(ISERROR($S735),"",OFFSET('Smelter Reference List'!$D$4,$S735-4,0)&amp;"")</f>
        <v/>
      </c>
      <c r="F735" s="292" t="str">
        <f ca="1">IF(ISERROR($S735),"",OFFSET('Smelter Reference List'!$E$4,$S735-4,0))</f>
        <v/>
      </c>
      <c r="G735" s="292" t="str">
        <f ca="1">IF(C735=$U$4,"Enter smelter details", IF(ISERROR($S735),"",OFFSET('Smelter Reference List'!$F$4,$S735-4,0)))</f>
        <v/>
      </c>
      <c r="H735" s="293" t="str">
        <f ca="1">IF(ISERROR($S735),"",OFFSET('Smelter Reference List'!$G$4,$S735-4,0))</f>
        <v/>
      </c>
      <c r="I735" s="294" t="str">
        <f ca="1">IF(ISERROR($S735),"",OFFSET('Smelter Reference List'!$H$4,$S735-4,0))</f>
        <v/>
      </c>
      <c r="J735" s="294" t="str">
        <f ca="1">IF(ISERROR($S735),"",OFFSET('Smelter Reference List'!$I$4,$S735-4,0))</f>
        <v/>
      </c>
      <c r="K735" s="295"/>
      <c r="L735" s="295"/>
      <c r="M735" s="295"/>
      <c r="N735" s="295"/>
      <c r="O735" s="295"/>
      <c r="P735" s="295"/>
      <c r="Q735" s="296"/>
      <c r="R735" s="227"/>
      <c r="S735" s="228" t="e">
        <f>IF(C735="",NA(),MATCH($B735&amp;$C735,'Smelter Reference List'!$J:$J,0))</f>
        <v>#N/A</v>
      </c>
      <c r="T735" s="229"/>
      <c r="U735" s="229">
        <f t="shared" ca="1" si="24"/>
        <v>0</v>
      </c>
      <c r="V735" s="229"/>
      <c r="W735" s="229"/>
      <c r="Y735" s="223" t="str">
        <f t="shared" si="25"/>
        <v/>
      </c>
    </row>
    <row r="736" spans="1:25" s="223" customFormat="1" ht="20.25">
      <c r="A736" s="291"/>
      <c r="B736" s="292" t="str">
        <f>IF(LEN(A736)=0,"",INDEX('Smelter Reference List'!$A:$A,MATCH($A736,'Smelter Reference List'!$E:$E,0)))</f>
        <v/>
      </c>
      <c r="C736" s="298" t="str">
        <f>IF(LEN(A736)=0,"",INDEX('Smelter Reference List'!$C:$C,MATCH($A736,'Smelter Reference List'!$E:$E,0)))</f>
        <v/>
      </c>
      <c r="D736" s="292" t="str">
        <f ca="1">IF(ISERROR($S736),"",OFFSET('Smelter Reference List'!$C$4,$S736-4,0)&amp;"")</f>
        <v/>
      </c>
      <c r="E736" s="292" t="str">
        <f ca="1">IF(ISERROR($S736),"",OFFSET('Smelter Reference List'!$D$4,$S736-4,0)&amp;"")</f>
        <v/>
      </c>
      <c r="F736" s="292" t="str">
        <f ca="1">IF(ISERROR($S736),"",OFFSET('Smelter Reference List'!$E$4,$S736-4,0))</f>
        <v/>
      </c>
      <c r="G736" s="292" t="str">
        <f ca="1">IF(C736=$U$4,"Enter smelter details", IF(ISERROR($S736),"",OFFSET('Smelter Reference List'!$F$4,$S736-4,0)))</f>
        <v/>
      </c>
      <c r="H736" s="293" t="str">
        <f ca="1">IF(ISERROR($S736),"",OFFSET('Smelter Reference List'!$G$4,$S736-4,0))</f>
        <v/>
      </c>
      <c r="I736" s="294" t="str">
        <f ca="1">IF(ISERROR($S736),"",OFFSET('Smelter Reference List'!$H$4,$S736-4,0))</f>
        <v/>
      </c>
      <c r="J736" s="294" t="str">
        <f ca="1">IF(ISERROR($S736),"",OFFSET('Smelter Reference List'!$I$4,$S736-4,0))</f>
        <v/>
      </c>
      <c r="K736" s="295"/>
      <c r="L736" s="295"/>
      <c r="M736" s="295"/>
      <c r="N736" s="295"/>
      <c r="O736" s="295"/>
      <c r="P736" s="295"/>
      <c r="Q736" s="296"/>
      <c r="R736" s="227"/>
      <c r="S736" s="228" t="e">
        <f>IF(C736="",NA(),MATCH($B736&amp;$C736,'Smelter Reference List'!$J:$J,0))</f>
        <v>#N/A</v>
      </c>
      <c r="T736" s="229"/>
      <c r="U736" s="229">
        <f t="shared" ca="1" si="24"/>
        <v>0</v>
      </c>
      <c r="V736" s="229"/>
      <c r="W736" s="229"/>
      <c r="Y736" s="223" t="str">
        <f t="shared" si="25"/>
        <v/>
      </c>
    </row>
    <row r="737" spans="1:25" s="223" customFormat="1" ht="20.25">
      <c r="A737" s="291"/>
      <c r="B737" s="292" t="str">
        <f>IF(LEN(A737)=0,"",INDEX('Smelter Reference List'!$A:$A,MATCH($A737,'Smelter Reference List'!$E:$E,0)))</f>
        <v/>
      </c>
      <c r="C737" s="298" t="str">
        <f>IF(LEN(A737)=0,"",INDEX('Smelter Reference List'!$C:$C,MATCH($A737,'Smelter Reference List'!$E:$E,0)))</f>
        <v/>
      </c>
      <c r="D737" s="292" t="str">
        <f ca="1">IF(ISERROR($S737),"",OFFSET('Smelter Reference List'!$C$4,$S737-4,0)&amp;"")</f>
        <v/>
      </c>
      <c r="E737" s="292" t="str">
        <f ca="1">IF(ISERROR($S737),"",OFFSET('Smelter Reference List'!$D$4,$S737-4,0)&amp;"")</f>
        <v/>
      </c>
      <c r="F737" s="292" t="str">
        <f ca="1">IF(ISERROR($S737),"",OFFSET('Smelter Reference List'!$E$4,$S737-4,0))</f>
        <v/>
      </c>
      <c r="G737" s="292" t="str">
        <f ca="1">IF(C737=$U$4,"Enter smelter details", IF(ISERROR($S737),"",OFFSET('Smelter Reference List'!$F$4,$S737-4,0)))</f>
        <v/>
      </c>
      <c r="H737" s="293" t="str">
        <f ca="1">IF(ISERROR($S737),"",OFFSET('Smelter Reference List'!$G$4,$S737-4,0))</f>
        <v/>
      </c>
      <c r="I737" s="294" t="str">
        <f ca="1">IF(ISERROR($S737),"",OFFSET('Smelter Reference List'!$H$4,$S737-4,0))</f>
        <v/>
      </c>
      <c r="J737" s="294" t="str">
        <f ca="1">IF(ISERROR($S737),"",OFFSET('Smelter Reference List'!$I$4,$S737-4,0))</f>
        <v/>
      </c>
      <c r="K737" s="295"/>
      <c r="L737" s="295"/>
      <c r="M737" s="295"/>
      <c r="N737" s="295"/>
      <c r="O737" s="295"/>
      <c r="P737" s="295"/>
      <c r="Q737" s="296"/>
      <c r="R737" s="227"/>
      <c r="S737" s="228" t="e">
        <f>IF(C737="",NA(),MATCH($B737&amp;$C737,'Smelter Reference List'!$J:$J,0))</f>
        <v>#N/A</v>
      </c>
      <c r="T737" s="229"/>
      <c r="U737" s="229">
        <f t="shared" ca="1" si="24"/>
        <v>0</v>
      </c>
      <c r="V737" s="229"/>
      <c r="W737" s="229"/>
      <c r="Y737" s="223" t="str">
        <f t="shared" si="25"/>
        <v/>
      </c>
    </row>
    <row r="738" spans="1:25" s="223" customFormat="1" ht="20.25">
      <c r="A738" s="291"/>
      <c r="B738" s="292" t="str">
        <f>IF(LEN(A738)=0,"",INDEX('Smelter Reference List'!$A:$A,MATCH($A738,'Smelter Reference List'!$E:$E,0)))</f>
        <v/>
      </c>
      <c r="C738" s="298" t="str">
        <f>IF(LEN(A738)=0,"",INDEX('Smelter Reference List'!$C:$C,MATCH($A738,'Smelter Reference List'!$E:$E,0)))</f>
        <v/>
      </c>
      <c r="D738" s="292" t="str">
        <f ca="1">IF(ISERROR($S738),"",OFFSET('Smelter Reference List'!$C$4,$S738-4,0)&amp;"")</f>
        <v/>
      </c>
      <c r="E738" s="292" t="str">
        <f ca="1">IF(ISERROR($S738),"",OFFSET('Smelter Reference List'!$D$4,$S738-4,0)&amp;"")</f>
        <v/>
      </c>
      <c r="F738" s="292" t="str">
        <f ca="1">IF(ISERROR($S738),"",OFFSET('Smelter Reference List'!$E$4,$S738-4,0))</f>
        <v/>
      </c>
      <c r="G738" s="292" t="str">
        <f ca="1">IF(C738=$U$4,"Enter smelter details", IF(ISERROR($S738),"",OFFSET('Smelter Reference List'!$F$4,$S738-4,0)))</f>
        <v/>
      </c>
      <c r="H738" s="293" t="str">
        <f ca="1">IF(ISERROR($S738),"",OFFSET('Smelter Reference List'!$G$4,$S738-4,0))</f>
        <v/>
      </c>
      <c r="I738" s="294" t="str">
        <f ca="1">IF(ISERROR($S738),"",OFFSET('Smelter Reference List'!$H$4,$S738-4,0))</f>
        <v/>
      </c>
      <c r="J738" s="294" t="str">
        <f ca="1">IF(ISERROR($S738),"",OFFSET('Smelter Reference List'!$I$4,$S738-4,0))</f>
        <v/>
      </c>
      <c r="K738" s="295"/>
      <c r="L738" s="295"/>
      <c r="M738" s="295"/>
      <c r="N738" s="295"/>
      <c r="O738" s="295"/>
      <c r="P738" s="295"/>
      <c r="Q738" s="296"/>
      <c r="R738" s="227"/>
      <c r="S738" s="228" t="e">
        <f>IF(C738="",NA(),MATCH($B738&amp;$C738,'Smelter Reference List'!$J:$J,0))</f>
        <v>#N/A</v>
      </c>
      <c r="T738" s="229"/>
      <c r="U738" s="229">
        <f t="shared" ca="1" si="24"/>
        <v>0</v>
      </c>
      <c r="V738" s="229"/>
      <c r="W738" s="229"/>
      <c r="Y738" s="223" t="str">
        <f t="shared" si="25"/>
        <v/>
      </c>
    </row>
    <row r="739" spans="1:25" s="223" customFormat="1" ht="20.25">
      <c r="A739" s="291"/>
      <c r="B739" s="292" t="str">
        <f>IF(LEN(A739)=0,"",INDEX('Smelter Reference List'!$A:$A,MATCH($A739,'Smelter Reference List'!$E:$E,0)))</f>
        <v/>
      </c>
      <c r="C739" s="298" t="str">
        <f>IF(LEN(A739)=0,"",INDEX('Smelter Reference List'!$C:$C,MATCH($A739,'Smelter Reference List'!$E:$E,0)))</f>
        <v/>
      </c>
      <c r="D739" s="292" t="str">
        <f ca="1">IF(ISERROR($S739),"",OFFSET('Smelter Reference List'!$C$4,$S739-4,0)&amp;"")</f>
        <v/>
      </c>
      <c r="E739" s="292" t="str">
        <f ca="1">IF(ISERROR($S739),"",OFFSET('Smelter Reference List'!$D$4,$S739-4,0)&amp;"")</f>
        <v/>
      </c>
      <c r="F739" s="292" t="str">
        <f ca="1">IF(ISERROR($S739),"",OFFSET('Smelter Reference List'!$E$4,$S739-4,0))</f>
        <v/>
      </c>
      <c r="G739" s="292" t="str">
        <f ca="1">IF(C739=$U$4,"Enter smelter details", IF(ISERROR($S739),"",OFFSET('Smelter Reference List'!$F$4,$S739-4,0)))</f>
        <v/>
      </c>
      <c r="H739" s="293" t="str">
        <f ca="1">IF(ISERROR($S739),"",OFFSET('Smelter Reference List'!$G$4,$S739-4,0))</f>
        <v/>
      </c>
      <c r="I739" s="294" t="str">
        <f ca="1">IF(ISERROR($S739),"",OFFSET('Smelter Reference List'!$H$4,$S739-4,0))</f>
        <v/>
      </c>
      <c r="J739" s="294" t="str">
        <f ca="1">IF(ISERROR($S739),"",OFFSET('Smelter Reference List'!$I$4,$S739-4,0))</f>
        <v/>
      </c>
      <c r="K739" s="295"/>
      <c r="L739" s="295"/>
      <c r="M739" s="295"/>
      <c r="N739" s="295"/>
      <c r="O739" s="295"/>
      <c r="P739" s="295"/>
      <c r="Q739" s="296"/>
      <c r="R739" s="227"/>
      <c r="S739" s="228" t="e">
        <f>IF(C739="",NA(),MATCH($B739&amp;$C739,'Smelter Reference List'!$J:$J,0))</f>
        <v>#N/A</v>
      </c>
      <c r="T739" s="229"/>
      <c r="U739" s="229">
        <f t="shared" ca="1" si="24"/>
        <v>0</v>
      </c>
      <c r="V739" s="229"/>
      <c r="W739" s="229"/>
      <c r="Y739" s="223" t="str">
        <f t="shared" si="25"/>
        <v/>
      </c>
    </row>
    <row r="740" spans="1:25" s="223" customFormat="1" ht="20.25">
      <c r="A740" s="291"/>
      <c r="B740" s="292" t="str">
        <f>IF(LEN(A740)=0,"",INDEX('Smelter Reference List'!$A:$A,MATCH($A740,'Smelter Reference List'!$E:$E,0)))</f>
        <v/>
      </c>
      <c r="C740" s="298" t="str">
        <f>IF(LEN(A740)=0,"",INDEX('Smelter Reference List'!$C:$C,MATCH($A740,'Smelter Reference List'!$E:$E,0)))</f>
        <v/>
      </c>
      <c r="D740" s="292" t="str">
        <f ca="1">IF(ISERROR($S740),"",OFFSET('Smelter Reference List'!$C$4,$S740-4,0)&amp;"")</f>
        <v/>
      </c>
      <c r="E740" s="292" t="str">
        <f ca="1">IF(ISERROR($S740),"",OFFSET('Smelter Reference List'!$D$4,$S740-4,0)&amp;"")</f>
        <v/>
      </c>
      <c r="F740" s="292" t="str">
        <f ca="1">IF(ISERROR($S740),"",OFFSET('Smelter Reference List'!$E$4,$S740-4,0))</f>
        <v/>
      </c>
      <c r="G740" s="292" t="str">
        <f ca="1">IF(C740=$U$4,"Enter smelter details", IF(ISERROR($S740),"",OFFSET('Smelter Reference List'!$F$4,$S740-4,0)))</f>
        <v/>
      </c>
      <c r="H740" s="293" t="str">
        <f ca="1">IF(ISERROR($S740),"",OFFSET('Smelter Reference List'!$G$4,$S740-4,0))</f>
        <v/>
      </c>
      <c r="I740" s="294" t="str">
        <f ca="1">IF(ISERROR($S740),"",OFFSET('Smelter Reference List'!$H$4,$S740-4,0))</f>
        <v/>
      </c>
      <c r="J740" s="294" t="str">
        <f ca="1">IF(ISERROR($S740),"",OFFSET('Smelter Reference List'!$I$4,$S740-4,0))</f>
        <v/>
      </c>
      <c r="K740" s="295"/>
      <c r="L740" s="295"/>
      <c r="M740" s="295"/>
      <c r="N740" s="295"/>
      <c r="O740" s="295"/>
      <c r="P740" s="295"/>
      <c r="Q740" s="296"/>
      <c r="R740" s="227"/>
      <c r="S740" s="228" t="e">
        <f>IF(C740="",NA(),MATCH($B740&amp;$C740,'Smelter Reference List'!$J:$J,0))</f>
        <v>#N/A</v>
      </c>
      <c r="T740" s="229"/>
      <c r="U740" s="229">
        <f t="shared" ca="1" si="24"/>
        <v>0</v>
      </c>
      <c r="V740" s="229"/>
      <c r="W740" s="229"/>
      <c r="Y740" s="223" t="str">
        <f t="shared" si="25"/>
        <v/>
      </c>
    </row>
    <row r="741" spans="1:25" s="223" customFormat="1" ht="20.25">
      <c r="A741" s="291"/>
      <c r="B741" s="292" t="str">
        <f>IF(LEN(A741)=0,"",INDEX('Smelter Reference List'!$A:$A,MATCH($A741,'Smelter Reference List'!$E:$E,0)))</f>
        <v/>
      </c>
      <c r="C741" s="298" t="str">
        <f>IF(LEN(A741)=0,"",INDEX('Smelter Reference List'!$C:$C,MATCH($A741,'Smelter Reference List'!$E:$E,0)))</f>
        <v/>
      </c>
      <c r="D741" s="292" t="str">
        <f ca="1">IF(ISERROR($S741),"",OFFSET('Smelter Reference List'!$C$4,$S741-4,0)&amp;"")</f>
        <v/>
      </c>
      <c r="E741" s="292" t="str">
        <f ca="1">IF(ISERROR($S741),"",OFFSET('Smelter Reference List'!$D$4,$S741-4,0)&amp;"")</f>
        <v/>
      </c>
      <c r="F741" s="292" t="str">
        <f ca="1">IF(ISERROR($S741),"",OFFSET('Smelter Reference List'!$E$4,$S741-4,0))</f>
        <v/>
      </c>
      <c r="G741" s="292" t="str">
        <f ca="1">IF(C741=$U$4,"Enter smelter details", IF(ISERROR($S741),"",OFFSET('Smelter Reference List'!$F$4,$S741-4,0)))</f>
        <v/>
      </c>
      <c r="H741" s="293" t="str">
        <f ca="1">IF(ISERROR($S741),"",OFFSET('Smelter Reference List'!$G$4,$S741-4,0))</f>
        <v/>
      </c>
      <c r="I741" s="294" t="str">
        <f ca="1">IF(ISERROR($S741),"",OFFSET('Smelter Reference List'!$H$4,$S741-4,0))</f>
        <v/>
      </c>
      <c r="J741" s="294" t="str">
        <f ca="1">IF(ISERROR($S741),"",OFFSET('Smelter Reference List'!$I$4,$S741-4,0))</f>
        <v/>
      </c>
      <c r="K741" s="295"/>
      <c r="L741" s="295"/>
      <c r="M741" s="295"/>
      <c r="N741" s="295"/>
      <c r="O741" s="295"/>
      <c r="P741" s="295"/>
      <c r="Q741" s="296"/>
      <c r="R741" s="227"/>
      <c r="S741" s="228" t="e">
        <f>IF(C741="",NA(),MATCH($B741&amp;$C741,'Smelter Reference List'!$J:$J,0))</f>
        <v>#N/A</v>
      </c>
      <c r="T741" s="229"/>
      <c r="U741" s="229">
        <f t="shared" ca="1" si="24"/>
        <v>0</v>
      </c>
      <c r="V741" s="229"/>
      <c r="W741" s="229"/>
      <c r="Y741" s="223" t="str">
        <f t="shared" si="25"/>
        <v/>
      </c>
    </row>
    <row r="742" spans="1:25" s="223" customFormat="1" ht="20.25">
      <c r="A742" s="291"/>
      <c r="B742" s="292" t="str">
        <f>IF(LEN(A742)=0,"",INDEX('Smelter Reference List'!$A:$A,MATCH($A742,'Smelter Reference List'!$E:$E,0)))</f>
        <v/>
      </c>
      <c r="C742" s="298" t="str">
        <f>IF(LEN(A742)=0,"",INDEX('Smelter Reference List'!$C:$C,MATCH($A742,'Smelter Reference List'!$E:$E,0)))</f>
        <v/>
      </c>
      <c r="D742" s="292" t="str">
        <f ca="1">IF(ISERROR($S742),"",OFFSET('Smelter Reference List'!$C$4,$S742-4,0)&amp;"")</f>
        <v/>
      </c>
      <c r="E742" s="292" t="str">
        <f ca="1">IF(ISERROR($S742),"",OFFSET('Smelter Reference List'!$D$4,$S742-4,0)&amp;"")</f>
        <v/>
      </c>
      <c r="F742" s="292" t="str">
        <f ca="1">IF(ISERROR($S742),"",OFFSET('Smelter Reference List'!$E$4,$S742-4,0))</f>
        <v/>
      </c>
      <c r="G742" s="292" t="str">
        <f ca="1">IF(C742=$U$4,"Enter smelter details", IF(ISERROR($S742),"",OFFSET('Smelter Reference List'!$F$4,$S742-4,0)))</f>
        <v/>
      </c>
      <c r="H742" s="293" t="str">
        <f ca="1">IF(ISERROR($S742),"",OFFSET('Smelter Reference List'!$G$4,$S742-4,0))</f>
        <v/>
      </c>
      <c r="I742" s="294" t="str">
        <f ca="1">IF(ISERROR($S742),"",OFFSET('Smelter Reference List'!$H$4,$S742-4,0))</f>
        <v/>
      </c>
      <c r="J742" s="294" t="str">
        <f ca="1">IF(ISERROR($S742),"",OFFSET('Smelter Reference List'!$I$4,$S742-4,0))</f>
        <v/>
      </c>
      <c r="K742" s="295"/>
      <c r="L742" s="295"/>
      <c r="M742" s="295"/>
      <c r="N742" s="295"/>
      <c r="O742" s="295"/>
      <c r="P742" s="295"/>
      <c r="Q742" s="296"/>
      <c r="R742" s="227"/>
      <c r="S742" s="228" t="e">
        <f>IF(C742="",NA(),MATCH($B742&amp;$C742,'Smelter Reference List'!$J:$J,0))</f>
        <v>#N/A</v>
      </c>
      <c r="T742" s="229"/>
      <c r="U742" s="229">
        <f t="shared" ca="1" si="24"/>
        <v>0</v>
      </c>
      <c r="V742" s="229"/>
      <c r="W742" s="229"/>
      <c r="Y742" s="223" t="str">
        <f t="shared" si="25"/>
        <v/>
      </c>
    </row>
    <row r="743" spans="1:25" s="223" customFormat="1" ht="20.25">
      <c r="A743" s="291"/>
      <c r="B743" s="292" t="str">
        <f>IF(LEN(A743)=0,"",INDEX('Smelter Reference List'!$A:$A,MATCH($A743,'Smelter Reference List'!$E:$E,0)))</f>
        <v/>
      </c>
      <c r="C743" s="298" t="str">
        <f>IF(LEN(A743)=0,"",INDEX('Smelter Reference List'!$C:$C,MATCH($A743,'Smelter Reference List'!$E:$E,0)))</f>
        <v/>
      </c>
      <c r="D743" s="292" t="str">
        <f ca="1">IF(ISERROR($S743),"",OFFSET('Smelter Reference List'!$C$4,$S743-4,0)&amp;"")</f>
        <v/>
      </c>
      <c r="E743" s="292" t="str">
        <f ca="1">IF(ISERROR($S743),"",OFFSET('Smelter Reference List'!$D$4,$S743-4,0)&amp;"")</f>
        <v/>
      </c>
      <c r="F743" s="292" t="str">
        <f ca="1">IF(ISERROR($S743),"",OFFSET('Smelter Reference List'!$E$4,$S743-4,0))</f>
        <v/>
      </c>
      <c r="G743" s="292" t="str">
        <f ca="1">IF(C743=$U$4,"Enter smelter details", IF(ISERROR($S743),"",OFFSET('Smelter Reference List'!$F$4,$S743-4,0)))</f>
        <v/>
      </c>
      <c r="H743" s="293" t="str">
        <f ca="1">IF(ISERROR($S743),"",OFFSET('Smelter Reference List'!$G$4,$S743-4,0))</f>
        <v/>
      </c>
      <c r="I743" s="294" t="str">
        <f ca="1">IF(ISERROR($S743),"",OFFSET('Smelter Reference List'!$H$4,$S743-4,0))</f>
        <v/>
      </c>
      <c r="J743" s="294" t="str">
        <f ca="1">IF(ISERROR($S743),"",OFFSET('Smelter Reference List'!$I$4,$S743-4,0))</f>
        <v/>
      </c>
      <c r="K743" s="295"/>
      <c r="L743" s="295"/>
      <c r="M743" s="295"/>
      <c r="N743" s="295"/>
      <c r="O743" s="295"/>
      <c r="P743" s="295"/>
      <c r="Q743" s="296"/>
      <c r="R743" s="227"/>
      <c r="S743" s="228" t="e">
        <f>IF(C743="",NA(),MATCH($B743&amp;$C743,'Smelter Reference List'!$J:$J,0))</f>
        <v>#N/A</v>
      </c>
      <c r="T743" s="229"/>
      <c r="U743" s="229">
        <f t="shared" ca="1" si="24"/>
        <v>0</v>
      </c>
      <c r="V743" s="229"/>
      <c r="W743" s="229"/>
      <c r="Y743" s="223" t="str">
        <f t="shared" si="25"/>
        <v/>
      </c>
    </row>
    <row r="744" spans="1:25" s="223" customFormat="1" ht="20.25">
      <c r="A744" s="291"/>
      <c r="B744" s="292" t="str">
        <f>IF(LEN(A744)=0,"",INDEX('Smelter Reference List'!$A:$A,MATCH($A744,'Smelter Reference List'!$E:$E,0)))</f>
        <v/>
      </c>
      <c r="C744" s="298" t="str">
        <f>IF(LEN(A744)=0,"",INDEX('Smelter Reference List'!$C:$C,MATCH($A744,'Smelter Reference List'!$E:$E,0)))</f>
        <v/>
      </c>
      <c r="D744" s="292" t="str">
        <f ca="1">IF(ISERROR($S744),"",OFFSET('Smelter Reference List'!$C$4,$S744-4,0)&amp;"")</f>
        <v/>
      </c>
      <c r="E744" s="292" t="str">
        <f ca="1">IF(ISERROR($S744),"",OFFSET('Smelter Reference List'!$D$4,$S744-4,0)&amp;"")</f>
        <v/>
      </c>
      <c r="F744" s="292" t="str">
        <f ca="1">IF(ISERROR($S744),"",OFFSET('Smelter Reference List'!$E$4,$S744-4,0))</f>
        <v/>
      </c>
      <c r="G744" s="292" t="str">
        <f ca="1">IF(C744=$U$4,"Enter smelter details", IF(ISERROR($S744),"",OFFSET('Smelter Reference List'!$F$4,$S744-4,0)))</f>
        <v/>
      </c>
      <c r="H744" s="293" t="str">
        <f ca="1">IF(ISERROR($S744),"",OFFSET('Smelter Reference List'!$G$4,$S744-4,0))</f>
        <v/>
      </c>
      <c r="I744" s="294" t="str">
        <f ca="1">IF(ISERROR($S744),"",OFFSET('Smelter Reference List'!$H$4,$S744-4,0))</f>
        <v/>
      </c>
      <c r="J744" s="294" t="str">
        <f ca="1">IF(ISERROR($S744),"",OFFSET('Smelter Reference List'!$I$4,$S744-4,0))</f>
        <v/>
      </c>
      <c r="K744" s="295"/>
      <c r="L744" s="295"/>
      <c r="M744" s="295"/>
      <c r="N744" s="295"/>
      <c r="O744" s="295"/>
      <c r="P744" s="295"/>
      <c r="Q744" s="296"/>
      <c r="R744" s="227"/>
      <c r="S744" s="228" t="e">
        <f>IF(C744="",NA(),MATCH($B744&amp;$C744,'Smelter Reference List'!$J:$J,0))</f>
        <v>#N/A</v>
      </c>
      <c r="T744" s="229"/>
      <c r="U744" s="229">
        <f t="shared" ca="1" si="24"/>
        <v>0</v>
      </c>
      <c r="V744" s="229"/>
      <c r="W744" s="229"/>
      <c r="Y744" s="223" t="str">
        <f t="shared" si="25"/>
        <v/>
      </c>
    </row>
    <row r="745" spans="1:25" s="223" customFormat="1" ht="20.25">
      <c r="A745" s="291"/>
      <c r="B745" s="292" t="str">
        <f>IF(LEN(A745)=0,"",INDEX('Smelter Reference List'!$A:$A,MATCH($A745,'Smelter Reference List'!$E:$E,0)))</f>
        <v/>
      </c>
      <c r="C745" s="298" t="str">
        <f>IF(LEN(A745)=0,"",INDEX('Smelter Reference List'!$C:$C,MATCH($A745,'Smelter Reference List'!$E:$E,0)))</f>
        <v/>
      </c>
      <c r="D745" s="292" t="str">
        <f ca="1">IF(ISERROR($S745),"",OFFSET('Smelter Reference List'!$C$4,$S745-4,0)&amp;"")</f>
        <v/>
      </c>
      <c r="E745" s="292" t="str">
        <f ca="1">IF(ISERROR($S745),"",OFFSET('Smelter Reference List'!$D$4,$S745-4,0)&amp;"")</f>
        <v/>
      </c>
      <c r="F745" s="292" t="str">
        <f ca="1">IF(ISERROR($S745),"",OFFSET('Smelter Reference List'!$E$4,$S745-4,0))</f>
        <v/>
      </c>
      <c r="G745" s="292" t="str">
        <f ca="1">IF(C745=$U$4,"Enter smelter details", IF(ISERROR($S745),"",OFFSET('Smelter Reference List'!$F$4,$S745-4,0)))</f>
        <v/>
      </c>
      <c r="H745" s="293" t="str">
        <f ca="1">IF(ISERROR($S745),"",OFFSET('Smelter Reference List'!$G$4,$S745-4,0))</f>
        <v/>
      </c>
      <c r="I745" s="294" t="str">
        <f ca="1">IF(ISERROR($S745),"",OFFSET('Smelter Reference List'!$H$4,$S745-4,0))</f>
        <v/>
      </c>
      <c r="J745" s="294" t="str">
        <f ca="1">IF(ISERROR($S745),"",OFFSET('Smelter Reference List'!$I$4,$S745-4,0))</f>
        <v/>
      </c>
      <c r="K745" s="295"/>
      <c r="L745" s="295"/>
      <c r="M745" s="295"/>
      <c r="N745" s="295"/>
      <c r="O745" s="295"/>
      <c r="P745" s="295"/>
      <c r="Q745" s="296"/>
      <c r="R745" s="227"/>
      <c r="S745" s="228" t="e">
        <f>IF(C745="",NA(),MATCH($B745&amp;$C745,'Smelter Reference List'!$J:$J,0))</f>
        <v>#N/A</v>
      </c>
      <c r="T745" s="229"/>
      <c r="U745" s="229">
        <f t="shared" ca="1" si="24"/>
        <v>0</v>
      </c>
      <c r="V745" s="229"/>
      <c r="W745" s="229"/>
      <c r="Y745" s="223" t="str">
        <f t="shared" si="25"/>
        <v/>
      </c>
    </row>
    <row r="746" spans="1:25" s="223" customFormat="1" ht="20.25">
      <c r="A746" s="291"/>
      <c r="B746" s="292" t="str">
        <f>IF(LEN(A746)=0,"",INDEX('Smelter Reference List'!$A:$A,MATCH($A746,'Smelter Reference List'!$E:$E,0)))</f>
        <v/>
      </c>
      <c r="C746" s="298" t="str">
        <f>IF(LEN(A746)=0,"",INDEX('Smelter Reference List'!$C:$C,MATCH($A746,'Smelter Reference List'!$E:$E,0)))</f>
        <v/>
      </c>
      <c r="D746" s="292" t="str">
        <f ca="1">IF(ISERROR($S746),"",OFFSET('Smelter Reference List'!$C$4,$S746-4,0)&amp;"")</f>
        <v/>
      </c>
      <c r="E746" s="292" t="str">
        <f ca="1">IF(ISERROR($S746),"",OFFSET('Smelter Reference List'!$D$4,$S746-4,0)&amp;"")</f>
        <v/>
      </c>
      <c r="F746" s="292" t="str">
        <f ca="1">IF(ISERROR($S746),"",OFFSET('Smelter Reference List'!$E$4,$S746-4,0))</f>
        <v/>
      </c>
      <c r="G746" s="292" t="str">
        <f ca="1">IF(C746=$U$4,"Enter smelter details", IF(ISERROR($S746),"",OFFSET('Smelter Reference List'!$F$4,$S746-4,0)))</f>
        <v/>
      </c>
      <c r="H746" s="293" t="str">
        <f ca="1">IF(ISERROR($S746),"",OFFSET('Smelter Reference List'!$G$4,$S746-4,0))</f>
        <v/>
      </c>
      <c r="I746" s="294" t="str">
        <f ca="1">IF(ISERROR($S746),"",OFFSET('Smelter Reference List'!$H$4,$S746-4,0))</f>
        <v/>
      </c>
      <c r="J746" s="294" t="str">
        <f ca="1">IF(ISERROR($S746),"",OFFSET('Smelter Reference List'!$I$4,$S746-4,0))</f>
        <v/>
      </c>
      <c r="K746" s="295"/>
      <c r="L746" s="295"/>
      <c r="M746" s="295"/>
      <c r="N746" s="295"/>
      <c r="O746" s="295"/>
      <c r="P746" s="295"/>
      <c r="Q746" s="296"/>
      <c r="R746" s="227"/>
      <c r="S746" s="228" t="e">
        <f>IF(C746="",NA(),MATCH($B746&amp;$C746,'Smelter Reference List'!$J:$J,0))</f>
        <v>#N/A</v>
      </c>
      <c r="T746" s="229"/>
      <c r="U746" s="229">
        <f t="shared" ca="1" si="24"/>
        <v>0</v>
      </c>
      <c r="V746" s="229"/>
      <c r="W746" s="229"/>
      <c r="Y746" s="223" t="str">
        <f t="shared" si="25"/>
        <v/>
      </c>
    </row>
    <row r="747" spans="1:25" s="223" customFormat="1" ht="20.25">
      <c r="A747" s="291"/>
      <c r="B747" s="292" t="str">
        <f>IF(LEN(A747)=0,"",INDEX('Smelter Reference List'!$A:$A,MATCH($A747,'Smelter Reference List'!$E:$E,0)))</f>
        <v/>
      </c>
      <c r="C747" s="298" t="str">
        <f>IF(LEN(A747)=0,"",INDEX('Smelter Reference List'!$C:$C,MATCH($A747,'Smelter Reference List'!$E:$E,0)))</f>
        <v/>
      </c>
      <c r="D747" s="292" t="str">
        <f ca="1">IF(ISERROR($S747),"",OFFSET('Smelter Reference List'!$C$4,$S747-4,0)&amp;"")</f>
        <v/>
      </c>
      <c r="E747" s="292" t="str">
        <f ca="1">IF(ISERROR($S747),"",OFFSET('Smelter Reference List'!$D$4,$S747-4,0)&amp;"")</f>
        <v/>
      </c>
      <c r="F747" s="292" t="str">
        <f ca="1">IF(ISERROR($S747),"",OFFSET('Smelter Reference List'!$E$4,$S747-4,0))</f>
        <v/>
      </c>
      <c r="G747" s="292" t="str">
        <f ca="1">IF(C747=$U$4,"Enter smelter details", IF(ISERROR($S747),"",OFFSET('Smelter Reference List'!$F$4,$S747-4,0)))</f>
        <v/>
      </c>
      <c r="H747" s="293" t="str">
        <f ca="1">IF(ISERROR($S747),"",OFFSET('Smelter Reference List'!$G$4,$S747-4,0))</f>
        <v/>
      </c>
      <c r="I747" s="294" t="str">
        <f ca="1">IF(ISERROR($S747),"",OFFSET('Smelter Reference List'!$H$4,$S747-4,0))</f>
        <v/>
      </c>
      <c r="J747" s="294" t="str">
        <f ca="1">IF(ISERROR($S747),"",OFFSET('Smelter Reference List'!$I$4,$S747-4,0))</f>
        <v/>
      </c>
      <c r="K747" s="295"/>
      <c r="L747" s="295"/>
      <c r="M747" s="295"/>
      <c r="N747" s="295"/>
      <c r="O747" s="295"/>
      <c r="P747" s="295"/>
      <c r="Q747" s="296"/>
      <c r="R747" s="227"/>
      <c r="S747" s="228" t="e">
        <f>IF(C747="",NA(),MATCH($B747&amp;$C747,'Smelter Reference List'!$J:$J,0))</f>
        <v>#N/A</v>
      </c>
      <c r="T747" s="229"/>
      <c r="U747" s="229">
        <f t="shared" ca="1" si="24"/>
        <v>0</v>
      </c>
      <c r="V747" s="229"/>
      <c r="W747" s="229"/>
      <c r="Y747" s="223" t="str">
        <f t="shared" si="25"/>
        <v/>
      </c>
    </row>
    <row r="748" spans="1:25" s="223" customFormat="1" ht="20.25">
      <c r="A748" s="291"/>
      <c r="B748" s="292" t="str">
        <f>IF(LEN(A748)=0,"",INDEX('Smelter Reference List'!$A:$A,MATCH($A748,'Smelter Reference List'!$E:$E,0)))</f>
        <v/>
      </c>
      <c r="C748" s="298" t="str">
        <f>IF(LEN(A748)=0,"",INDEX('Smelter Reference List'!$C:$C,MATCH($A748,'Smelter Reference List'!$E:$E,0)))</f>
        <v/>
      </c>
      <c r="D748" s="292" t="str">
        <f ca="1">IF(ISERROR($S748),"",OFFSET('Smelter Reference List'!$C$4,$S748-4,0)&amp;"")</f>
        <v/>
      </c>
      <c r="E748" s="292" t="str">
        <f ca="1">IF(ISERROR($S748),"",OFFSET('Smelter Reference List'!$D$4,$S748-4,0)&amp;"")</f>
        <v/>
      </c>
      <c r="F748" s="292" t="str">
        <f ca="1">IF(ISERROR($S748),"",OFFSET('Smelter Reference List'!$E$4,$S748-4,0))</f>
        <v/>
      </c>
      <c r="G748" s="292" t="str">
        <f ca="1">IF(C748=$U$4,"Enter smelter details", IF(ISERROR($S748),"",OFFSET('Smelter Reference List'!$F$4,$S748-4,0)))</f>
        <v/>
      </c>
      <c r="H748" s="293" t="str">
        <f ca="1">IF(ISERROR($S748),"",OFFSET('Smelter Reference List'!$G$4,$S748-4,0))</f>
        <v/>
      </c>
      <c r="I748" s="294" t="str">
        <f ca="1">IF(ISERROR($S748),"",OFFSET('Smelter Reference List'!$H$4,$S748-4,0))</f>
        <v/>
      </c>
      <c r="J748" s="294" t="str">
        <f ca="1">IF(ISERROR($S748),"",OFFSET('Smelter Reference List'!$I$4,$S748-4,0))</f>
        <v/>
      </c>
      <c r="K748" s="295"/>
      <c r="L748" s="295"/>
      <c r="M748" s="295"/>
      <c r="N748" s="295"/>
      <c r="O748" s="295"/>
      <c r="P748" s="295"/>
      <c r="Q748" s="296"/>
      <c r="R748" s="227"/>
      <c r="S748" s="228" t="e">
        <f>IF(C748="",NA(),MATCH($B748&amp;$C748,'Smelter Reference List'!$J:$J,0))</f>
        <v>#N/A</v>
      </c>
      <c r="T748" s="229"/>
      <c r="U748" s="229">
        <f t="shared" ca="1" si="24"/>
        <v>0</v>
      </c>
      <c r="V748" s="229"/>
      <c r="W748" s="229"/>
      <c r="Y748" s="223" t="str">
        <f t="shared" si="25"/>
        <v/>
      </c>
    </row>
    <row r="749" spans="1:25" s="223" customFormat="1" ht="20.25">
      <c r="A749" s="291"/>
      <c r="B749" s="292" t="str">
        <f>IF(LEN(A749)=0,"",INDEX('Smelter Reference List'!$A:$A,MATCH($A749,'Smelter Reference List'!$E:$E,0)))</f>
        <v/>
      </c>
      <c r="C749" s="298" t="str">
        <f>IF(LEN(A749)=0,"",INDEX('Smelter Reference List'!$C:$C,MATCH($A749,'Smelter Reference List'!$E:$E,0)))</f>
        <v/>
      </c>
      <c r="D749" s="292" t="str">
        <f ca="1">IF(ISERROR($S749),"",OFFSET('Smelter Reference List'!$C$4,$S749-4,0)&amp;"")</f>
        <v/>
      </c>
      <c r="E749" s="292" t="str">
        <f ca="1">IF(ISERROR($S749),"",OFFSET('Smelter Reference List'!$D$4,$S749-4,0)&amp;"")</f>
        <v/>
      </c>
      <c r="F749" s="292" t="str">
        <f ca="1">IF(ISERROR($S749),"",OFFSET('Smelter Reference List'!$E$4,$S749-4,0))</f>
        <v/>
      </c>
      <c r="G749" s="292" t="str">
        <f ca="1">IF(C749=$U$4,"Enter smelter details", IF(ISERROR($S749),"",OFFSET('Smelter Reference List'!$F$4,$S749-4,0)))</f>
        <v/>
      </c>
      <c r="H749" s="293" t="str">
        <f ca="1">IF(ISERROR($S749),"",OFFSET('Smelter Reference List'!$G$4,$S749-4,0))</f>
        <v/>
      </c>
      <c r="I749" s="294" t="str">
        <f ca="1">IF(ISERROR($S749),"",OFFSET('Smelter Reference List'!$H$4,$S749-4,0))</f>
        <v/>
      </c>
      <c r="J749" s="294" t="str">
        <f ca="1">IF(ISERROR($S749),"",OFFSET('Smelter Reference List'!$I$4,$S749-4,0))</f>
        <v/>
      </c>
      <c r="K749" s="295"/>
      <c r="L749" s="295"/>
      <c r="M749" s="295"/>
      <c r="N749" s="295"/>
      <c r="O749" s="295"/>
      <c r="P749" s="295"/>
      <c r="Q749" s="296"/>
      <c r="R749" s="227"/>
      <c r="S749" s="228" t="e">
        <f>IF(C749="",NA(),MATCH($B749&amp;$C749,'Smelter Reference List'!$J:$J,0))</f>
        <v>#N/A</v>
      </c>
      <c r="T749" s="229"/>
      <c r="U749" s="229">
        <f t="shared" ca="1" si="24"/>
        <v>0</v>
      </c>
      <c r="V749" s="229"/>
      <c r="W749" s="229"/>
      <c r="Y749" s="223" t="str">
        <f t="shared" si="25"/>
        <v/>
      </c>
    </row>
    <row r="750" spans="1:25" s="223" customFormat="1" ht="20.25">
      <c r="A750" s="291"/>
      <c r="B750" s="292" t="str">
        <f>IF(LEN(A750)=0,"",INDEX('Smelter Reference List'!$A:$A,MATCH($A750,'Smelter Reference List'!$E:$E,0)))</f>
        <v/>
      </c>
      <c r="C750" s="298" t="str">
        <f>IF(LEN(A750)=0,"",INDEX('Smelter Reference List'!$C:$C,MATCH($A750,'Smelter Reference List'!$E:$E,0)))</f>
        <v/>
      </c>
      <c r="D750" s="292" t="str">
        <f ca="1">IF(ISERROR($S750),"",OFFSET('Smelter Reference List'!$C$4,$S750-4,0)&amp;"")</f>
        <v/>
      </c>
      <c r="E750" s="292" t="str">
        <f ca="1">IF(ISERROR($S750),"",OFFSET('Smelter Reference List'!$D$4,$S750-4,0)&amp;"")</f>
        <v/>
      </c>
      <c r="F750" s="292" t="str">
        <f ca="1">IF(ISERROR($S750),"",OFFSET('Smelter Reference List'!$E$4,$S750-4,0))</f>
        <v/>
      </c>
      <c r="G750" s="292" t="str">
        <f ca="1">IF(C750=$U$4,"Enter smelter details", IF(ISERROR($S750),"",OFFSET('Smelter Reference List'!$F$4,$S750-4,0)))</f>
        <v/>
      </c>
      <c r="H750" s="293" t="str">
        <f ca="1">IF(ISERROR($S750),"",OFFSET('Smelter Reference List'!$G$4,$S750-4,0))</f>
        <v/>
      </c>
      <c r="I750" s="294" t="str">
        <f ca="1">IF(ISERROR($S750),"",OFFSET('Smelter Reference List'!$H$4,$S750-4,0))</f>
        <v/>
      </c>
      <c r="J750" s="294" t="str">
        <f ca="1">IF(ISERROR($S750),"",OFFSET('Smelter Reference List'!$I$4,$S750-4,0))</f>
        <v/>
      </c>
      <c r="K750" s="295"/>
      <c r="L750" s="295"/>
      <c r="M750" s="295"/>
      <c r="N750" s="295"/>
      <c r="O750" s="295"/>
      <c r="P750" s="295"/>
      <c r="Q750" s="296"/>
      <c r="R750" s="227"/>
      <c r="S750" s="228" t="e">
        <f>IF(C750="",NA(),MATCH($B750&amp;$C750,'Smelter Reference List'!$J:$J,0))</f>
        <v>#N/A</v>
      </c>
      <c r="T750" s="229"/>
      <c r="U750" s="229">
        <f t="shared" ca="1" si="24"/>
        <v>0</v>
      </c>
      <c r="V750" s="229"/>
      <c r="W750" s="229"/>
      <c r="Y750" s="223" t="str">
        <f t="shared" si="25"/>
        <v/>
      </c>
    </row>
    <row r="751" spans="1:25" s="223" customFormat="1" ht="20.25">
      <c r="A751" s="291"/>
      <c r="B751" s="292" t="str">
        <f>IF(LEN(A751)=0,"",INDEX('Smelter Reference List'!$A:$A,MATCH($A751,'Smelter Reference List'!$E:$E,0)))</f>
        <v/>
      </c>
      <c r="C751" s="298" t="str">
        <f>IF(LEN(A751)=0,"",INDEX('Smelter Reference List'!$C:$C,MATCH($A751,'Smelter Reference List'!$E:$E,0)))</f>
        <v/>
      </c>
      <c r="D751" s="292" t="str">
        <f ca="1">IF(ISERROR($S751),"",OFFSET('Smelter Reference List'!$C$4,$S751-4,0)&amp;"")</f>
        <v/>
      </c>
      <c r="E751" s="292" t="str">
        <f ca="1">IF(ISERROR($S751),"",OFFSET('Smelter Reference List'!$D$4,$S751-4,0)&amp;"")</f>
        <v/>
      </c>
      <c r="F751" s="292" t="str">
        <f ca="1">IF(ISERROR($S751),"",OFFSET('Smelter Reference List'!$E$4,$S751-4,0))</f>
        <v/>
      </c>
      <c r="G751" s="292" t="str">
        <f ca="1">IF(C751=$U$4,"Enter smelter details", IF(ISERROR($S751),"",OFFSET('Smelter Reference List'!$F$4,$S751-4,0)))</f>
        <v/>
      </c>
      <c r="H751" s="293" t="str">
        <f ca="1">IF(ISERROR($S751),"",OFFSET('Smelter Reference List'!$G$4,$S751-4,0))</f>
        <v/>
      </c>
      <c r="I751" s="294" t="str">
        <f ca="1">IF(ISERROR($S751),"",OFFSET('Smelter Reference List'!$H$4,$S751-4,0))</f>
        <v/>
      </c>
      <c r="J751" s="294" t="str">
        <f ca="1">IF(ISERROR($S751),"",OFFSET('Smelter Reference List'!$I$4,$S751-4,0))</f>
        <v/>
      </c>
      <c r="K751" s="295"/>
      <c r="L751" s="295"/>
      <c r="M751" s="295"/>
      <c r="N751" s="295"/>
      <c r="O751" s="295"/>
      <c r="P751" s="295"/>
      <c r="Q751" s="296"/>
      <c r="R751" s="227"/>
      <c r="S751" s="228" t="e">
        <f>IF(C751="",NA(),MATCH($B751&amp;$C751,'Smelter Reference List'!$J:$J,0))</f>
        <v>#N/A</v>
      </c>
      <c r="T751" s="229"/>
      <c r="U751" s="229">
        <f t="shared" ca="1" si="24"/>
        <v>0</v>
      </c>
      <c r="V751" s="229"/>
      <c r="W751" s="229"/>
      <c r="Y751" s="223" t="str">
        <f t="shared" si="25"/>
        <v/>
      </c>
    </row>
    <row r="752" spans="1:25" s="223" customFormat="1" ht="20.25">
      <c r="A752" s="291"/>
      <c r="B752" s="292" t="str">
        <f>IF(LEN(A752)=0,"",INDEX('Smelter Reference List'!$A:$A,MATCH($A752,'Smelter Reference List'!$E:$E,0)))</f>
        <v/>
      </c>
      <c r="C752" s="298" t="str">
        <f>IF(LEN(A752)=0,"",INDEX('Smelter Reference List'!$C:$C,MATCH($A752,'Smelter Reference List'!$E:$E,0)))</f>
        <v/>
      </c>
      <c r="D752" s="292" t="str">
        <f ca="1">IF(ISERROR($S752),"",OFFSET('Smelter Reference List'!$C$4,$S752-4,0)&amp;"")</f>
        <v/>
      </c>
      <c r="E752" s="292" t="str">
        <f ca="1">IF(ISERROR($S752),"",OFFSET('Smelter Reference List'!$D$4,$S752-4,0)&amp;"")</f>
        <v/>
      </c>
      <c r="F752" s="292" t="str">
        <f ca="1">IF(ISERROR($S752),"",OFFSET('Smelter Reference List'!$E$4,$S752-4,0))</f>
        <v/>
      </c>
      <c r="G752" s="292" t="str">
        <f ca="1">IF(C752=$U$4,"Enter smelter details", IF(ISERROR($S752),"",OFFSET('Smelter Reference List'!$F$4,$S752-4,0)))</f>
        <v/>
      </c>
      <c r="H752" s="293" t="str">
        <f ca="1">IF(ISERROR($S752),"",OFFSET('Smelter Reference List'!$G$4,$S752-4,0))</f>
        <v/>
      </c>
      <c r="I752" s="294" t="str">
        <f ca="1">IF(ISERROR($S752),"",OFFSET('Smelter Reference List'!$H$4,$S752-4,0))</f>
        <v/>
      </c>
      <c r="J752" s="294" t="str">
        <f ca="1">IF(ISERROR($S752),"",OFFSET('Smelter Reference List'!$I$4,$S752-4,0))</f>
        <v/>
      </c>
      <c r="K752" s="295"/>
      <c r="L752" s="295"/>
      <c r="M752" s="295"/>
      <c r="N752" s="295"/>
      <c r="O752" s="295"/>
      <c r="P752" s="295"/>
      <c r="Q752" s="296"/>
      <c r="R752" s="227"/>
      <c r="S752" s="228" t="e">
        <f>IF(C752="",NA(),MATCH($B752&amp;$C752,'Smelter Reference List'!$J:$J,0))</f>
        <v>#N/A</v>
      </c>
      <c r="T752" s="229"/>
      <c r="U752" s="229">
        <f t="shared" ca="1" si="24"/>
        <v>0</v>
      </c>
      <c r="V752" s="229"/>
      <c r="W752" s="229"/>
      <c r="Y752" s="223" t="str">
        <f t="shared" si="25"/>
        <v/>
      </c>
    </row>
    <row r="753" spans="1:25" s="223" customFormat="1" ht="20.25">
      <c r="A753" s="291"/>
      <c r="B753" s="292" t="str">
        <f>IF(LEN(A753)=0,"",INDEX('Smelter Reference List'!$A:$A,MATCH($A753,'Smelter Reference List'!$E:$E,0)))</f>
        <v/>
      </c>
      <c r="C753" s="298" t="str">
        <f>IF(LEN(A753)=0,"",INDEX('Smelter Reference List'!$C:$C,MATCH($A753,'Smelter Reference List'!$E:$E,0)))</f>
        <v/>
      </c>
      <c r="D753" s="292" t="str">
        <f ca="1">IF(ISERROR($S753),"",OFFSET('Smelter Reference List'!$C$4,$S753-4,0)&amp;"")</f>
        <v/>
      </c>
      <c r="E753" s="292" t="str">
        <f ca="1">IF(ISERROR($S753),"",OFFSET('Smelter Reference List'!$D$4,$S753-4,0)&amp;"")</f>
        <v/>
      </c>
      <c r="F753" s="292" t="str">
        <f ca="1">IF(ISERROR($S753),"",OFFSET('Smelter Reference List'!$E$4,$S753-4,0))</f>
        <v/>
      </c>
      <c r="G753" s="292" t="str">
        <f ca="1">IF(C753=$U$4,"Enter smelter details", IF(ISERROR($S753),"",OFFSET('Smelter Reference List'!$F$4,$S753-4,0)))</f>
        <v/>
      </c>
      <c r="H753" s="293" t="str">
        <f ca="1">IF(ISERROR($S753),"",OFFSET('Smelter Reference List'!$G$4,$S753-4,0))</f>
        <v/>
      </c>
      <c r="I753" s="294" t="str">
        <f ca="1">IF(ISERROR($S753),"",OFFSET('Smelter Reference List'!$H$4,$S753-4,0))</f>
        <v/>
      </c>
      <c r="J753" s="294" t="str">
        <f ca="1">IF(ISERROR($S753),"",OFFSET('Smelter Reference List'!$I$4,$S753-4,0))</f>
        <v/>
      </c>
      <c r="K753" s="295"/>
      <c r="L753" s="295"/>
      <c r="M753" s="295"/>
      <c r="N753" s="295"/>
      <c r="O753" s="295"/>
      <c r="P753" s="295"/>
      <c r="Q753" s="296"/>
      <c r="R753" s="227"/>
      <c r="S753" s="228" t="e">
        <f>IF(C753="",NA(),MATCH($B753&amp;$C753,'Smelter Reference List'!$J:$J,0))</f>
        <v>#N/A</v>
      </c>
      <c r="T753" s="229"/>
      <c r="U753" s="229">
        <f t="shared" ca="1" si="24"/>
        <v>0</v>
      </c>
      <c r="V753" s="229"/>
      <c r="W753" s="229"/>
      <c r="Y753" s="223" t="str">
        <f t="shared" si="25"/>
        <v/>
      </c>
    </row>
    <row r="754" spans="1:25" s="223" customFormat="1" ht="20.25">
      <c r="A754" s="291"/>
      <c r="B754" s="292" t="str">
        <f>IF(LEN(A754)=0,"",INDEX('Smelter Reference List'!$A:$A,MATCH($A754,'Smelter Reference List'!$E:$E,0)))</f>
        <v/>
      </c>
      <c r="C754" s="298" t="str">
        <f>IF(LEN(A754)=0,"",INDEX('Smelter Reference List'!$C:$C,MATCH($A754,'Smelter Reference List'!$E:$E,0)))</f>
        <v/>
      </c>
      <c r="D754" s="292" t="str">
        <f ca="1">IF(ISERROR($S754),"",OFFSET('Smelter Reference List'!$C$4,$S754-4,0)&amp;"")</f>
        <v/>
      </c>
      <c r="E754" s="292" t="str">
        <f ca="1">IF(ISERROR($S754),"",OFFSET('Smelter Reference List'!$D$4,$S754-4,0)&amp;"")</f>
        <v/>
      </c>
      <c r="F754" s="292" t="str">
        <f ca="1">IF(ISERROR($S754),"",OFFSET('Smelter Reference List'!$E$4,$S754-4,0))</f>
        <v/>
      </c>
      <c r="G754" s="292" t="str">
        <f ca="1">IF(C754=$U$4,"Enter smelter details", IF(ISERROR($S754),"",OFFSET('Smelter Reference List'!$F$4,$S754-4,0)))</f>
        <v/>
      </c>
      <c r="H754" s="293" t="str">
        <f ca="1">IF(ISERROR($S754),"",OFFSET('Smelter Reference List'!$G$4,$S754-4,0))</f>
        <v/>
      </c>
      <c r="I754" s="294" t="str">
        <f ca="1">IF(ISERROR($S754),"",OFFSET('Smelter Reference List'!$H$4,$S754-4,0))</f>
        <v/>
      </c>
      <c r="J754" s="294" t="str">
        <f ca="1">IF(ISERROR($S754),"",OFFSET('Smelter Reference List'!$I$4,$S754-4,0))</f>
        <v/>
      </c>
      <c r="K754" s="295"/>
      <c r="L754" s="295"/>
      <c r="M754" s="295"/>
      <c r="N754" s="295"/>
      <c r="O754" s="295"/>
      <c r="P754" s="295"/>
      <c r="Q754" s="296"/>
      <c r="R754" s="227"/>
      <c r="S754" s="228" t="e">
        <f>IF(C754="",NA(),MATCH($B754&amp;$C754,'Smelter Reference List'!$J:$J,0))</f>
        <v>#N/A</v>
      </c>
      <c r="T754" s="229"/>
      <c r="U754" s="229">
        <f t="shared" ca="1" si="24"/>
        <v>0</v>
      </c>
      <c r="V754" s="229"/>
      <c r="W754" s="229"/>
      <c r="Y754" s="223" t="str">
        <f t="shared" si="25"/>
        <v/>
      </c>
    </row>
    <row r="755" spans="1:25" s="223" customFormat="1" ht="20.25">
      <c r="A755" s="291"/>
      <c r="B755" s="292" t="str">
        <f>IF(LEN(A755)=0,"",INDEX('Smelter Reference List'!$A:$A,MATCH($A755,'Smelter Reference List'!$E:$E,0)))</f>
        <v/>
      </c>
      <c r="C755" s="298" t="str">
        <f>IF(LEN(A755)=0,"",INDEX('Smelter Reference List'!$C:$C,MATCH($A755,'Smelter Reference List'!$E:$E,0)))</f>
        <v/>
      </c>
      <c r="D755" s="292" t="str">
        <f ca="1">IF(ISERROR($S755),"",OFFSET('Smelter Reference List'!$C$4,$S755-4,0)&amp;"")</f>
        <v/>
      </c>
      <c r="E755" s="292" t="str">
        <f ca="1">IF(ISERROR($S755),"",OFFSET('Smelter Reference List'!$D$4,$S755-4,0)&amp;"")</f>
        <v/>
      </c>
      <c r="F755" s="292" t="str">
        <f ca="1">IF(ISERROR($S755),"",OFFSET('Smelter Reference List'!$E$4,$S755-4,0))</f>
        <v/>
      </c>
      <c r="G755" s="292" t="str">
        <f ca="1">IF(C755=$U$4,"Enter smelter details", IF(ISERROR($S755),"",OFFSET('Smelter Reference List'!$F$4,$S755-4,0)))</f>
        <v/>
      </c>
      <c r="H755" s="293" t="str">
        <f ca="1">IF(ISERROR($S755),"",OFFSET('Smelter Reference List'!$G$4,$S755-4,0))</f>
        <v/>
      </c>
      <c r="I755" s="294" t="str">
        <f ca="1">IF(ISERROR($S755),"",OFFSET('Smelter Reference List'!$H$4,$S755-4,0))</f>
        <v/>
      </c>
      <c r="J755" s="294" t="str">
        <f ca="1">IF(ISERROR($S755),"",OFFSET('Smelter Reference List'!$I$4,$S755-4,0))</f>
        <v/>
      </c>
      <c r="K755" s="295"/>
      <c r="L755" s="295"/>
      <c r="M755" s="295"/>
      <c r="N755" s="295"/>
      <c r="O755" s="295"/>
      <c r="P755" s="295"/>
      <c r="Q755" s="296"/>
      <c r="R755" s="227"/>
      <c r="S755" s="228" t="e">
        <f>IF(C755="",NA(),MATCH($B755&amp;$C755,'Smelter Reference List'!$J:$J,0))</f>
        <v>#N/A</v>
      </c>
      <c r="T755" s="229"/>
      <c r="U755" s="229">
        <f t="shared" ca="1" si="24"/>
        <v>0</v>
      </c>
      <c r="V755" s="229"/>
      <c r="W755" s="229"/>
      <c r="Y755" s="223" t="str">
        <f t="shared" si="25"/>
        <v/>
      </c>
    </row>
    <row r="756" spans="1:25" s="223" customFormat="1" ht="20.25">
      <c r="A756" s="291"/>
      <c r="B756" s="292" t="str">
        <f>IF(LEN(A756)=0,"",INDEX('Smelter Reference List'!$A:$A,MATCH($A756,'Smelter Reference List'!$E:$E,0)))</f>
        <v/>
      </c>
      <c r="C756" s="298" t="str">
        <f>IF(LEN(A756)=0,"",INDEX('Smelter Reference List'!$C:$C,MATCH($A756,'Smelter Reference List'!$E:$E,0)))</f>
        <v/>
      </c>
      <c r="D756" s="292" t="str">
        <f ca="1">IF(ISERROR($S756),"",OFFSET('Smelter Reference List'!$C$4,$S756-4,0)&amp;"")</f>
        <v/>
      </c>
      <c r="E756" s="292" t="str">
        <f ca="1">IF(ISERROR($S756),"",OFFSET('Smelter Reference List'!$D$4,$S756-4,0)&amp;"")</f>
        <v/>
      </c>
      <c r="F756" s="292" t="str">
        <f ca="1">IF(ISERROR($S756),"",OFFSET('Smelter Reference List'!$E$4,$S756-4,0))</f>
        <v/>
      </c>
      <c r="G756" s="292" t="str">
        <f ca="1">IF(C756=$U$4,"Enter smelter details", IF(ISERROR($S756),"",OFFSET('Smelter Reference List'!$F$4,$S756-4,0)))</f>
        <v/>
      </c>
      <c r="H756" s="293" t="str">
        <f ca="1">IF(ISERROR($S756),"",OFFSET('Smelter Reference List'!$G$4,$S756-4,0))</f>
        <v/>
      </c>
      <c r="I756" s="294" t="str">
        <f ca="1">IF(ISERROR($S756),"",OFFSET('Smelter Reference List'!$H$4,$S756-4,0))</f>
        <v/>
      </c>
      <c r="J756" s="294" t="str">
        <f ca="1">IF(ISERROR($S756),"",OFFSET('Smelter Reference List'!$I$4,$S756-4,0))</f>
        <v/>
      </c>
      <c r="K756" s="295"/>
      <c r="L756" s="295"/>
      <c r="M756" s="295"/>
      <c r="N756" s="295"/>
      <c r="O756" s="295"/>
      <c r="P756" s="295"/>
      <c r="Q756" s="296"/>
      <c r="R756" s="227"/>
      <c r="S756" s="228" t="e">
        <f>IF(C756="",NA(),MATCH($B756&amp;$C756,'Smelter Reference List'!$J:$J,0))</f>
        <v>#N/A</v>
      </c>
      <c r="T756" s="229"/>
      <c r="U756" s="229">
        <f t="shared" ca="1" si="24"/>
        <v>0</v>
      </c>
      <c r="V756" s="229"/>
      <c r="W756" s="229"/>
      <c r="Y756" s="223" t="str">
        <f t="shared" si="25"/>
        <v/>
      </c>
    </row>
    <row r="757" spans="1:25" s="223" customFormat="1" ht="20.25">
      <c r="A757" s="291"/>
      <c r="B757" s="292" t="str">
        <f>IF(LEN(A757)=0,"",INDEX('Smelter Reference List'!$A:$A,MATCH($A757,'Smelter Reference List'!$E:$E,0)))</f>
        <v/>
      </c>
      <c r="C757" s="298" t="str">
        <f>IF(LEN(A757)=0,"",INDEX('Smelter Reference List'!$C:$C,MATCH($A757,'Smelter Reference List'!$E:$E,0)))</f>
        <v/>
      </c>
      <c r="D757" s="292" t="str">
        <f ca="1">IF(ISERROR($S757),"",OFFSET('Smelter Reference List'!$C$4,$S757-4,0)&amp;"")</f>
        <v/>
      </c>
      <c r="E757" s="292" t="str">
        <f ca="1">IF(ISERROR($S757),"",OFFSET('Smelter Reference List'!$D$4,$S757-4,0)&amp;"")</f>
        <v/>
      </c>
      <c r="F757" s="292" t="str">
        <f ca="1">IF(ISERROR($S757),"",OFFSET('Smelter Reference List'!$E$4,$S757-4,0))</f>
        <v/>
      </c>
      <c r="G757" s="292" t="str">
        <f ca="1">IF(C757=$U$4,"Enter smelter details", IF(ISERROR($S757),"",OFFSET('Smelter Reference List'!$F$4,$S757-4,0)))</f>
        <v/>
      </c>
      <c r="H757" s="293" t="str">
        <f ca="1">IF(ISERROR($S757),"",OFFSET('Smelter Reference List'!$G$4,$S757-4,0))</f>
        <v/>
      </c>
      <c r="I757" s="294" t="str">
        <f ca="1">IF(ISERROR($S757),"",OFFSET('Smelter Reference List'!$H$4,$S757-4,0))</f>
        <v/>
      </c>
      <c r="J757" s="294" t="str">
        <f ca="1">IF(ISERROR($S757),"",OFFSET('Smelter Reference List'!$I$4,$S757-4,0))</f>
        <v/>
      </c>
      <c r="K757" s="295"/>
      <c r="L757" s="295"/>
      <c r="M757" s="295"/>
      <c r="N757" s="295"/>
      <c r="O757" s="295"/>
      <c r="P757" s="295"/>
      <c r="Q757" s="296"/>
      <c r="R757" s="227"/>
      <c r="S757" s="228" t="e">
        <f>IF(C757="",NA(),MATCH($B757&amp;$C757,'Smelter Reference List'!$J:$J,0))</f>
        <v>#N/A</v>
      </c>
      <c r="T757" s="229"/>
      <c r="U757" s="229">
        <f t="shared" ca="1" si="24"/>
        <v>0</v>
      </c>
      <c r="V757" s="229"/>
      <c r="W757" s="229"/>
      <c r="Y757" s="223" t="str">
        <f t="shared" si="25"/>
        <v/>
      </c>
    </row>
    <row r="758" spans="1:25" s="223" customFormat="1" ht="20.25">
      <c r="A758" s="291"/>
      <c r="B758" s="292" t="str">
        <f>IF(LEN(A758)=0,"",INDEX('Smelter Reference List'!$A:$A,MATCH($A758,'Smelter Reference List'!$E:$E,0)))</f>
        <v/>
      </c>
      <c r="C758" s="298" t="str">
        <f>IF(LEN(A758)=0,"",INDEX('Smelter Reference List'!$C:$C,MATCH($A758,'Smelter Reference List'!$E:$E,0)))</f>
        <v/>
      </c>
      <c r="D758" s="292" t="str">
        <f ca="1">IF(ISERROR($S758),"",OFFSET('Smelter Reference List'!$C$4,$S758-4,0)&amp;"")</f>
        <v/>
      </c>
      <c r="E758" s="292" t="str">
        <f ca="1">IF(ISERROR($S758),"",OFFSET('Smelter Reference List'!$D$4,$S758-4,0)&amp;"")</f>
        <v/>
      </c>
      <c r="F758" s="292" t="str">
        <f ca="1">IF(ISERROR($S758),"",OFFSET('Smelter Reference List'!$E$4,$S758-4,0))</f>
        <v/>
      </c>
      <c r="G758" s="292" t="str">
        <f ca="1">IF(C758=$U$4,"Enter smelter details", IF(ISERROR($S758),"",OFFSET('Smelter Reference List'!$F$4,$S758-4,0)))</f>
        <v/>
      </c>
      <c r="H758" s="293" t="str">
        <f ca="1">IF(ISERROR($S758),"",OFFSET('Smelter Reference List'!$G$4,$S758-4,0))</f>
        <v/>
      </c>
      <c r="I758" s="294" t="str">
        <f ca="1">IF(ISERROR($S758),"",OFFSET('Smelter Reference List'!$H$4,$S758-4,0))</f>
        <v/>
      </c>
      <c r="J758" s="294" t="str">
        <f ca="1">IF(ISERROR($S758),"",OFFSET('Smelter Reference List'!$I$4,$S758-4,0))</f>
        <v/>
      </c>
      <c r="K758" s="295"/>
      <c r="L758" s="295"/>
      <c r="M758" s="295"/>
      <c r="N758" s="295"/>
      <c r="O758" s="295"/>
      <c r="P758" s="295"/>
      <c r="Q758" s="296"/>
      <c r="R758" s="227"/>
      <c r="S758" s="228" t="e">
        <f>IF(C758="",NA(),MATCH($B758&amp;$C758,'Smelter Reference List'!$J:$J,0))</f>
        <v>#N/A</v>
      </c>
      <c r="T758" s="229"/>
      <c r="U758" s="229">
        <f t="shared" ca="1" si="24"/>
        <v>0</v>
      </c>
      <c r="V758" s="229"/>
      <c r="W758" s="229"/>
      <c r="Y758" s="223" t="str">
        <f t="shared" si="25"/>
        <v/>
      </c>
    </row>
    <row r="759" spans="1:25" s="223" customFormat="1" ht="20.25">
      <c r="A759" s="291"/>
      <c r="B759" s="292" t="str">
        <f>IF(LEN(A759)=0,"",INDEX('Smelter Reference List'!$A:$A,MATCH($A759,'Smelter Reference List'!$E:$E,0)))</f>
        <v/>
      </c>
      <c r="C759" s="298" t="str">
        <f>IF(LEN(A759)=0,"",INDEX('Smelter Reference List'!$C:$C,MATCH($A759,'Smelter Reference List'!$E:$E,0)))</f>
        <v/>
      </c>
      <c r="D759" s="292" t="str">
        <f ca="1">IF(ISERROR($S759),"",OFFSET('Smelter Reference List'!$C$4,$S759-4,0)&amp;"")</f>
        <v/>
      </c>
      <c r="E759" s="292" t="str">
        <f ca="1">IF(ISERROR($S759),"",OFFSET('Smelter Reference List'!$D$4,$S759-4,0)&amp;"")</f>
        <v/>
      </c>
      <c r="F759" s="292" t="str">
        <f ca="1">IF(ISERROR($S759),"",OFFSET('Smelter Reference List'!$E$4,$S759-4,0))</f>
        <v/>
      </c>
      <c r="G759" s="292" t="str">
        <f ca="1">IF(C759=$U$4,"Enter smelter details", IF(ISERROR($S759),"",OFFSET('Smelter Reference List'!$F$4,$S759-4,0)))</f>
        <v/>
      </c>
      <c r="H759" s="293" t="str">
        <f ca="1">IF(ISERROR($S759),"",OFFSET('Smelter Reference List'!$G$4,$S759-4,0))</f>
        <v/>
      </c>
      <c r="I759" s="294" t="str">
        <f ca="1">IF(ISERROR($S759),"",OFFSET('Smelter Reference List'!$H$4,$S759-4,0))</f>
        <v/>
      </c>
      <c r="J759" s="294" t="str">
        <f ca="1">IF(ISERROR($S759),"",OFFSET('Smelter Reference List'!$I$4,$S759-4,0))</f>
        <v/>
      </c>
      <c r="K759" s="295"/>
      <c r="L759" s="295"/>
      <c r="M759" s="295"/>
      <c r="N759" s="295"/>
      <c r="O759" s="295"/>
      <c r="P759" s="295"/>
      <c r="Q759" s="296"/>
      <c r="R759" s="227"/>
      <c r="S759" s="228" t="e">
        <f>IF(C759="",NA(),MATCH($B759&amp;$C759,'Smelter Reference List'!$J:$J,0))</f>
        <v>#N/A</v>
      </c>
      <c r="T759" s="229"/>
      <c r="U759" s="229">
        <f t="shared" ca="1" si="24"/>
        <v>0</v>
      </c>
      <c r="V759" s="229"/>
      <c r="W759" s="229"/>
      <c r="Y759" s="223" t="str">
        <f t="shared" si="25"/>
        <v/>
      </c>
    </row>
    <row r="760" spans="1:25" s="223" customFormat="1" ht="20.25">
      <c r="A760" s="291"/>
      <c r="B760" s="292" t="str">
        <f>IF(LEN(A760)=0,"",INDEX('Smelter Reference List'!$A:$A,MATCH($A760,'Smelter Reference List'!$E:$E,0)))</f>
        <v/>
      </c>
      <c r="C760" s="298" t="str">
        <f>IF(LEN(A760)=0,"",INDEX('Smelter Reference List'!$C:$C,MATCH($A760,'Smelter Reference List'!$E:$E,0)))</f>
        <v/>
      </c>
      <c r="D760" s="292" t="str">
        <f ca="1">IF(ISERROR($S760),"",OFFSET('Smelter Reference List'!$C$4,$S760-4,0)&amp;"")</f>
        <v/>
      </c>
      <c r="E760" s="292" t="str">
        <f ca="1">IF(ISERROR($S760),"",OFFSET('Smelter Reference List'!$D$4,$S760-4,0)&amp;"")</f>
        <v/>
      </c>
      <c r="F760" s="292" t="str">
        <f ca="1">IF(ISERROR($S760),"",OFFSET('Smelter Reference List'!$E$4,$S760-4,0))</f>
        <v/>
      </c>
      <c r="G760" s="292" t="str">
        <f ca="1">IF(C760=$U$4,"Enter smelter details", IF(ISERROR($S760),"",OFFSET('Smelter Reference List'!$F$4,$S760-4,0)))</f>
        <v/>
      </c>
      <c r="H760" s="293" t="str">
        <f ca="1">IF(ISERROR($S760),"",OFFSET('Smelter Reference List'!$G$4,$S760-4,0))</f>
        <v/>
      </c>
      <c r="I760" s="294" t="str">
        <f ca="1">IF(ISERROR($S760),"",OFFSET('Smelter Reference List'!$H$4,$S760-4,0))</f>
        <v/>
      </c>
      <c r="J760" s="294" t="str">
        <f ca="1">IF(ISERROR($S760),"",OFFSET('Smelter Reference List'!$I$4,$S760-4,0))</f>
        <v/>
      </c>
      <c r="K760" s="295"/>
      <c r="L760" s="295"/>
      <c r="M760" s="295"/>
      <c r="N760" s="295"/>
      <c r="O760" s="295"/>
      <c r="P760" s="295"/>
      <c r="Q760" s="296"/>
      <c r="R760" s="227"/>
      <c r="S760" s="228" t="e">
        <f>IF(C760="",NA(),MATCH($B760&amp;$C760,'Smelter Reference List'!$J:$J,0))</f>
        <v>#N/A</v>
      </c>
      <c r="T760" s="229"/>
      <c r="U760" s="229">
        <f t="shared" ca="1" si="24"/>
        <v>0</v>
      </c>
      <c r="V760" s="229"/>
      <c r="W760" s="229"/>
      <c r="Y760" s="223" t="str">
        <f t="shared" si="25"/>
        <v/>
      </c>
    </row>
    <row r="761" spans="1:25" s="223" customFormat="1" ht="20.25">
      <c r="A761" s="291"/>
      <c r="B761" s="292" t="str">
        <f>IF(LEN(A761)=0,"",INDEX('Smelter Reference List'!$A:$A,MATCH($A761,'Smelter Reference List'!$E:$E,0)))</f>
        <v/>
      </c>
      <c r="C761" s="298" t="str">
        <f>IF(LEN(A761)=0,"",INDEX('Smelter Reference List'!$C:$C,MATCH($A761,'Smelter Reference List'!$E:$E,0)))</f>
        <v/>
      </c>
      <c r="D761" s="292" t="str">
        <f ca="1">IF(ISERROR($S761),"",OFFSET('Smelter Reference List'!$C$4,$S761-4,0)&amp;"")</f>
        <v/>
      </c>
      <c r="E761" s="292" t="str">
        <f ca="1">IF(ISERROR($S761),"",OFFSET('Smelter Reference List'!$D$4,$S761-4,0)&amp;"")</f>
        <v/>
      </c>
      <c r="F761" s="292" t="str">
        <f ca="1">IF(ISERROR($S761),"",OFFSET('Smelter Reference List'!$E$4,$S761-4,0))</f>
        <v/>
      </c>
      <c r="G761" s="292" t="str">
        <f ca="1">IF(C761=$U$4,"Enter smelter details", IF(ISERROR($S761),"",OFFSET('Smelter Reference List'!$F$4,$S761-4,0)))</f>
        <v/>
      </c>
      <c r="H761" s="293" t="str">
        <f ca="1">IF(ISERROR($S761),"",OFFSET('Smelter Reference List'!$G$4,$S761-4,0))</f>
        <v/>
      </c>
      <c r="I761" s="294" t="str">
        <f ca="1">IF(ISERROR($S761),"",OFFSET('Smelter Reference List'!$H$4,$S761-4,0))</f>
        <v/>
      </c>
      <c r="J761" s="294" t="str">
        <f ca="1">IF(ISERROR($S761),"",OFFSET('Smelter Reference List'!$I$4,$S761-4,0))</f>
        <v/>
      </c>
      <c r="K761" s="295"/>
      <c r="L761" s="295"/>
      <c r="M761" s="295"/>
      <c r="N761" s="295"/>
      <c r="O761" s="295"/>
      <c r="P761" s="295"/>
      <c r="Q761" s="296"/>
      <c r="R761" s="227"/>
      <c r="S761" s="228" t="e">
        <f>IF(C761="",NA(),MATCH($B761&amp;$C761,'Smelter Reference List'!$J:$J,0))</f>
        <v>#N/A</v>
      </c>
      <c r="T761" s="229"/>
      <c r="U761" s="229">
        <f t="shared" ca="1" si="24"/>
        <v>0</v>
      </c>
      <c r="V761" s="229"/>
      <c r="W761" s="229"/>
      <c r="Y761" s="223" t="str">
        <f t="shared" si="25"/>
        <v/>
      </c>
    </row>
    <row r="762" spans="1:25" s="223" customFormat="1" ht="20.25">
      <c r="A762" s="291"/>
      <c r="B762" s="292" t="str">
        <f>IF(LEN(A762)=0,"",INDEX('Smelter Reference List'!$A:$A,MATCH($A762,'Smelter Reference List'!$E:$E,0)))</f>
        <v/>
      </c>
      <c r="C762" s="298" t="str">
        <f>IF(LEN(A762)=0,"",INDEX('Smelter Reference List'!$C:$C,MATCH($A762,'Smelter Reference List'!$E:$E,0)))</f>
        <v/>
      </c>
      <c r="D762" s="292" t="str">
        <f ca="1">IF(ISERROR($S762),"",OFFSET('Smelter Reference List'!$C$4,$S762-4,0)&amp;"")</f>
        <v/>
      </c>
      <c r="E762" s="292" t="str">
        <f ca="1">IF(ISERROR($S762),"",OFFSET('Smelter Reference List'!$D$4,$S762-4,0)&amp;"")</f>
        <v/>
      </c>
      <c r="F762" s="292" t="str">
        <f ca="1">IF(ISERROR($S762),"",OFFSET('Smelter Reference List'!$E$4,$S762-4,0))</f>
        <v/>
      </c>
      <c r="G762" s="292" t="str">
        <f ca="1">IF(C762=$U$4,"Enter smelter details", IF(ISERROR($S762),"",OFFSET('Smelter Reference List'!$F$4,$S762-4,0)))</f>
        <v/>
      </c>
      <c r="H762" s="293" t="str">
        <f ca="1">IF(ISERROR($S762),"",OFFSET('Smelter Reference List'!$G$4,$S762-4,0))</f>
        <v/>
      </c>
      <c r="I762" s="294" t="str">
        <f ca="1">IF(ISERROR($S762),"",OFFSET('Smelter Reference List'!$H$4,$S762-4,0))</f>
        <v/>
      </c>
      <c r="J762" s="294" t="str">
        <f ca="1">IF(ISERROR($S762),"",OFFSET('Smelter Reference List'!$I$4,$S762-4,0))</f>
        <v/>
      </c>
      <c r="K762" s="295"/>
      <c r="L762" s="295"/>
      <c r="M762" s="295"/>
      <c r="N762" s="295"/>
      <c r="O762" s="295"/>
      <c r="P762" s="295"/>
      <c r="Q762" s="296"/>
      <c r="R762" s="227"/>
      <c r="S762" s="228" t="e">
        <f>IF(C762="",NA(),MATCH($B762&amp;$C762,'Smelter Reference List'!$J:$J,0))</f>
        <v>#N/A</v>
      </c>
      <c r="T762" s="229"/>
      <c r="U762" s="229">
        <f t="shared" ca="1" si="24"/>
        <v>0</v>
      </c>
      <c r="V762" s="229"/>
      <c r="W762" s="229"/>
      <c r="Y762" s="223" t="str">
        <f t="shared" si="25"/>
        <v/>
      </c>
    </row>
    <row r="763" spans="1:25" s="223" customFormat="1" ht="20.25">
      <c r="A763" s="291"/>
      <c r="B763" s="292" t="str">
        <f>IF(LEN(A763)=0,"",INDEX('Smelter Reference List'!$A:$A,MATCH($A763,'Smelter Reference List'!$E:$E,0)))</f>
        <v/>
      </c>
      <c r="C763" s="298" t="str">
        <f>IF(LEN(A763)=0,"",INDEX('Smelter Reference List'!$C:$C,MATCH($A763,'Smelter Reference List'!$E:$E,0)))</f>
        <v/>
      </c>
      <c r="D763" s="292" t="str">
        <f ca="1">IF(ISERROR($S763),"",OFFSET('Smelter Reference List'!$C$4,$S763-4,0)&amp;"")</f>
        <v/>
      </c>
      <c r="E763" s="292" t="str">
        <f ca="1">IF(ISERROR($S763),"",OFFSET('Smelter Reference List'!$D$4,$S763-4,0)&amp;"")</f>
        <v/>
      </c>
      <c r="F763" s="292" t="str">
        <f ca="1">IF(ISERROR($S763),"",OFFSET('Smelter Reference List'!$E$4,$S763-4,0))</f>
        <v/>
      </c>
      <c r="G763" s="292" t="str">
        <f ca="1">IF(C763=$U$4,"Enter smelter details", IF(ISERROR($S763),"",OFFSET('Smelter Reference List'!$F$4,$S763-4,0)))</f>
        <v/>
      </c>
      <c r="H763" s="293" t="str">
        <f ca="1">IF(ISERROR($S763),"",OFFSET('Smelter Reference List'!$G$4,$S763-4,0))</f>
        <v/>
      </c>
      <c r="I763" s="294" t="str">
        <f ca="1">IF(ISERROR($S763),"",OFFSET('Smelter Reference List'!$H$4,$S763-4,0))</f>
        <v/>
      </c>
      <c r="J763" s="294" t="str">
        <f ca="1">IF(ISERROR($S763),"",OFFSET('Smelter Reference List'!$I$4,$S763-4,0))</f>
        <v/>
      </c>
      <c r="K763" s="295"/>
      <c r="L763" s="295"/>
      <c r="M763" s="295"/>
      <c r="N763" s="295"/>
      <c r="O763" s="295"/>
      <c r="P763" s="295"/>
      <c r="Q763" s="296"/>
      <c r="R763" s="227"/>
      <c r="S763" s="228" t="e">
        <f>IF(C763="",NA(),MATCH($B763&amp;$C763,'Smelter Reference List'!$J:$J,0))</f>
        <v>#N/A</v>
      </c>
      <c r="T763" s="229"/>
      <c r="U763" s="229">
        <f t="shared" ca="1" si="24"/>
        <v>0</v>
      </c>
      <c r="V763" s="229"/>
      <c r="W763" s="229"/>
      <c r="Y763" s="223" t="str">
        <f t="shared" si="25"/>
        <v/>
      </c>
    </row>
    <row r="764" spans="1:25" s="223" customFormat="1" ht="20.25">
      <c r="A764" s="291"/>
      <c r="B764" s="292" t="str">
        <f>IF(LEN(A764)=0,"",INDEX('Smelter Reference List'!$A:$A,MATCH($A764,'Smelter Reference List'!$E:$E,0)))</f>
        <v/>
      </c>
      <c r="C764" s="298" t="str">
        <f>IF(LEN(A764)=0,"",INDEX('Smelter Reference List'!$C:$C,MATCH($A764,'Smelter Reference List'!$E:$E,0)))</f>
        <v/>
      </c>
      <c r="D764" s="292" t="str">
        <f ca="1">IF(ISERROR($S764),"",OFFSET('Smelter Reference List'!$C$4,$S764-4,0)&amp;"")</f>
        <v/>
      </c>
      <c r="E764" s="292" t="str">
        <f ca="1">IF(ISERROR($S764),"",OFFSET('Smelter Reference List'!$D$4,$S764-4,0)&amp;"")</f>
        <v/>
      </c>
      <c r="F764" s="292" t="str">
        <f ca="1">IF(ISERROR($S764),"",OFFSET('Smelter Reference List'!$E$4,$S764-4,0))</f>
        <v/>
      </c>
      <c r="G764" s="292" t="str">
        <f ca="1">IF(C764=$U$4,"Enter smelter details", IF(ISERROR($S764),"",OFFSET('Smelter Reference List'!$F$4,$S764-4,0)))</f>
        <v/>
      </c>
      <c r="H764" s="293" t="str">
        <f ca="1">IF(ISERROR($S764),"",OFFSET('Smelter Reference List'!$G$4,$S764-4,0))</f>
        <v/>
      </c>
      <c r="I764" s="294" t="str">
        <f ca="1">IF(ISERROR($S764),"",OFFSET('Smelter Reference List'!$H$4,$S764-4,0))</f>
        <v/>
      </c>
      <c r="J764" s="294" t="str">
        <f ca="1">IF(ISERROR($S764),"",OFFSET('Smelter Reference List'!$I$4,$S764-4,0))</f>
        <v/>
      </c>
      <c r="K764" s="295"/>
      <c r="L764" s="295"/>
      <c r="M764" s="295"/>
      <c r="N764" s="295"/>
      <c r="O764" s="295"/>
      <c r="P764" s="295"/>
      <c r="Q764" s="296"/>
      <c r="R764" s="227"/>
      <c r="S764" s="228" t="e">
        <f>IF(C764="",NA(),MATCH($B764&amp;$C764,'Smelter Reference List'!$J:$J,0))</f>
        <v>#N/A</v>
      </c>
      <c r="T764" s="229"/>
      <c r="U764" s="229">
        <f t="shared" ca="1" si="24"/>
        <v>0</v>
      </c>
      <c r="V764" s="229"/>
      <c r="W764" s="229"/>
      <c r="Y764" s="223" t="str">
        <f t="shared" si="25"/>
        <v/>
      </c>
    </row>
    <row r="765" spans="1:25" s="223" customFormat="1" ht="20.25">
      <c r="A765" s="291"/>
      <c r="B765" s="292" t="str">
        <f>IF(LEN(A765)=0,"",INDEX('Smelter Reference List'!$A:$A,MATCH($A765,'Smelter Reference List'!$E:$E,0)))</f>
        <v/>
      </c>
      <c r="C765" s="298" t="str">
        <f>IF(LEN(A765)=0,"",INDEX('Smelter Reference List'!$C:$C,MATCH($A765,'Smelter Reference List'!$E:$E,0)))</f>
        <v/>
      </c>
      <c r="D765" s="292" t="str">
        <f ca="1">IF(ISERROR($S765),"",OFFSET('Smelter Reference List'!$C$4,$S765-4,0)&amp;"")</f>
        <v/>
      </c>
      <c r="E765" s="292" t="str">
        <f ca="1">IF(ISERROR($S765),"",OFFSET('Smelter Reference List'!$D$4,$S765-4,0)&amp;"")</f>
        <v/>
      </c>
      <c r="F765" s="292" t="str">
        <f ca="1">IF(ISERROR($S765),"",OFFSET('Smelter Reference List'!$E$4,$S765-4,0))</f>
        <v/>
      </c>
      <c r="G765" s="292" t="str">
        <f ca="1">IF(C765=$U$4,"Enter smelter details", IF(ISERROR($S765),"",OFFSET('Smelter Reference List'!$F$4,$S765-4,0)))</f>
        <v/>
      </c>
      <c r="H765" s="293" t="str">
        <f ca="1">IF(ISERROR($S765),"",OFFSET('Smelter Reference List'!$G$4,$S765-4,0))</f>
        <v/>
      </c>
      <c r="I765" s="294" t="str">
        <f ca="1">IF(ISERROR($S765),"",OFFSET('Smelter Reference List'!$H$4,$S765-4,0))</f>
        <v/>
      </c>
      <c r="J765" s="294" t="str">
        <f ca="1">IF(ISERROR($S765),"",OFFSET('Smelter Reference List'!$I$4,$S765-4,0))</f>
        <v/>
      </c>
      <c r="K765" s="295"/>
      <c r="L765" s="295"/>
      <c r="M765" s="295"/>
      <c r="N765" s="295"/>
      <c r="O765" s="295"/>
      <c r="P765" s="295"/>
      <c r="Q765" s="296"/>
      <c r="R765" s="227"/>
      <c r="S765" s="228" t="e">
        <f>IF(C765="",NA(),MATCH($B765&amp;$C765,'Smelter Reference List'!$J:$J,0))</f>
        <v>#N/A</v>
      </c>
      <c r="T765" s="229"/>
      <c r="U765" s="229">
        <f t="shared" ca="1" si="24"/>
        <v>0</v>
      </c>
      <c r="V765" s="229"/>
      <c r="W765" s="229"/>
      <c r="Y765" s="223" t="str">
        <f t="shared" si="25"/>
        <v/>
      </c>
    </row>
    <row r="766" spans="1:25" s="223" customFormat="1" ht="20.25">
      <c r="A766" s="291"/>
      <c r="B766" s="292" t="str">
        <f>IF(LEN(A766)=0,"",INDEX('Smelter Reference List'!$A:$A,MATCH($A766,'Smelter Reference List'!$E:$E,0)))</f>
        <v/>
      </c>
      <c r="C766" s="298" t="str">
        <f>IF(LEN(A766)=0,"",INDEX('Smelter Reference List'!$C:$C,MATCH($A766,'Smelter Reference List'!$E:$E,0)))</f>
        <v/>
      </c>
      <c r="D766" s="292" t="str">
        <f ca="1">IF(ISERROR($S766),"",OFFSET('Smelter Reference List'!$C$4,$S766-4,0)&amp;"")</f>
        <v/>
      </c>
      <c r="E766" s="292" t="str">
        <f ca="1">IF(ISERROR($S766),"",OFFSET('Smelter Reference List'!$D$4,$S766-4,0)&amp;"")</f>
        <v/>
      </c>
      <c r="F766" s="292" t="str">
        <f ca="1">IF(ISERROR($S766),"",OFFSET('Smelter Reference List'!$E$4,$S766-4,0))</f>
        <v/>
      </c>
      <c r="G766" s="292" t="str">
        <f ca="1">IF(C766=$U$4,"Enter smelter details", IF(ISERROR($S766),"",OFFSET('Smelter Reference List'!$F$4,$S766-4,0)))</f>
        <v/>
      </c>
      <c r="H766" s="293" t="str">
        <f ca="1">IF(ISERROR($S766),"",OFFSET('Smelter Reference List'!$G$4,$S766-4,0))</f>
        <v/>
      </c>
      <c r="I766" s="294" t="str">
        <f ca="1">IF(ISERROR($S766),"",OFFSET('Smelter Reference List'!$H$4,$S766-4,0))</f>
        <v/>
      </c>
      <c r="J766" s="294" t="str">
        <f ca="1">IF(ISERROR($S766),"",OFFSET('Smelter Reference List'!$I$4,$S766-4,0))</f>
        <v/>
      </c>
      <c r="K766" s="295"/>
      <c r="L766" s="295"/>
      <c r="M766" s="295"/>
      <c r="N766" s="295"/>
      <c r="O766" s="295"/>
      <c r="P766" s="295"/>
      <c r="Q766" s="296"/>
      <c r="R766" s="227"/>
      <c r="S766" s="228" t="e">
        <f>IF(C766="",NA(),MATCH($B766&amp;$C766,'Smelter Reference List'!$J:$J,0))</f>
        <v>#N/A</v>
      </c>
      <c r="T766" s="229"/>
      <c r="U766" s="229">
        <f t="shared" ca="1" si="24"/>
        <v>0</v>
      </c>
      <c r="V766" s="229"/>
      <c r="W766" s="229"/>
      <c r="Y766" s="223" t="str">
        <f t="shared" si="25"/>
        <v/>
      </c>
    </row>
    <row r="767" spans="1:25" s="223" customFormat="1" ht="20.25">
      <c r="A767" s="291"/>
      <c r="B767" s="292" t="str">
        <f>IF(LEN(A767)=0,"",INDEX('Smelter Reference List'!$A:$A,MATCH($A767,'Smelter Reference List'!$E:$E,0)))</f>
        <v/>
      </c>
      <c r="C767" s="298" t="str">
        <f>IF(LEN(A767)=0,"",INDEX('Smelter Reference List'!$C:$C,MATCH($A767,'Smelter Reference List'!$E:$E,0)))</f>
        <v/>
      </c>
      <c r="D767" s="292" t="str">
        <f ca="1">IF(ISERROR($S767),"",OFFSET('Smelter Reference List'!$C$4,$S767-4,0)&amp;"")</f>
        <v/>
      </c>
      <c r="E767" s="292" t="str">
        <f ca="1">IF(ISERROR($S767),"",OFFSET('Smelter Reference List'!$D$4,$S767-4,0)&amp;"")</f>
        <v/>
      </c>
      <c r="F767" s="292" t="str">
        <f ca="1">IF(ISERROR($S767),"",OFFSET('Smelter Reference List'!$E$4,$S767-4,0))</f>
        <v/>
      </c>
      <c r="G767" s="292" t="str">
        <f ca="1">IF(C767=$U$4,"Enter smelter details", IF(ISERROR($S767),"",OFFSET('Smelter Reference List'!$F$4,$S767-4,0)))</f>
        <v/>
      </c>
      <c r="H767" s="293" t="str">
        <f ca="1">IF(ISERROR($S767),"",OFFSET('Smelter Reference List'!$G$4,$S767-4,0))</f>
        <v/>
      </c>
      <c r="I767" s="294" t="str">
        <f ca="1">IF(ISERROR($S767),"",OFFSET('Smelter Reference List'!$H$4,$S767-4,0))</f>
        <v/>
      </c>
      <c r="J767" s="294" t="str">
        <f ca="1">IF(ISERROR($S767),"",OFFSET('Smelter Reference List'!$I$4,$S767-4,0))</f>
        <v/>
      </c>
      <c r="K767" s="295"/>
      <c r="L767" s="295"/>
      <c r="M767" s="295"/>
      <c r="N767" s="295"/>
      <c r="O767" s="295"/>
      <c r="P767" s="295"/>
      <c r="Q767" s="296"/>
      <c r="R767" s="227"/>
      <c r="S767" s="228" t="e">
        <f>IF(C767="",NA(),MATCH($B767&amp;$C767,'Smelter Reference List'!$J:$J,0))</f>
        <v>#N/A</v>
      </c>
      <c r="T767" s="229"/>
      <c r="U767" s="229">
        <f t="shared" ca="1" si="24"/>
        <v>0</v>
      </c>
      <c r="V767" s="229"/>
      <c r="W767" s="229"/>
      <c r="Y767" s="223" t="str">
        <f t="shared" si="25"/>
        <v/>
      </c>
    </row>
    <row r="768" spans="1:25" s="223" customFormat="1" ht="20.25">
      <c r="A768" s="291"/>
      <c r="B768" s="292" t="str">
        <f>IF(LEN(A768)=0,"",INDEX('Smelter Reference List'!$A:$A,MATCH($A768,'Smelter Reference List'!$E:$E,0)))</f>
        <v/>
      </c>
      <c r="C768" s="298" t="str">
        <f>IF(LEN(A768)=0,"",INDEX('Smelter Reference List'!$C:$C,MATCH($A768,'Smelter Reference List'!$E:$E,0)))</f>
        <v/>
      </c>
      <c r="D768" s="292" t="str">
        <f ca="1">IF(ISERROR($S768),"",OFFSET('Smelter Reference List'!$C$4,$S768-4,0)&amp;"")</f>
        <v/>
      </c>
      <c r="E768" s="292" t="str">
        <f ca="1">IF(ISERROR($S768),"",OFFSET('Smelter Reference List'!$D$4,$S768-4,0)&amp;"")</f>
        <v/>
      </c>
      <c r="F768" s="292" t="str">
        <f ca="1">IF(ISERROR($S768),"",OFFSET('Smelter Reference List'!$E$4,$S768-4,0))</f>
        <v/>
      </c>
      <c r="G768" s="292" t="str">
        <f ca="1">IF(C768=$U$4,"Enter smelter details", IF(ISERROR($S768),"",OFFSET('Smelter Reference List'!$F$4,$S768-4,0)))</f>
        <v/>
      </c>
      <c r="H768" s="293" t="str">
        <f ca="1">IF(ISERROR($S768),"",OFFSET('Smelter Reference List'!$G$4,$S768-4,0))</f>
        <v/>
      </c>
      <c r="I768" s="294" t="str">
        <f ca="1">IF(ISERROR($S768),"",OFFSET('Smelter Reference List'!$H$4,$S768-4,0))</f>
        <v/>
      </c>
      <c r="J768" s="294" t="str">
        <f ca="1">IF(ISERROR($S768),"",OFFSET('Smelter Reference List'!$I$4,$S768-4,0))</f>
        <v/>
      </c>
      <c r="K768" s="295"/>
      <c r="L768" s="295"/>
      <c r="M768" s="295"/>
      <c r="N768" s="295"/>
      <c r="O768" s="295"/>
      <c r="P768" s="295"/>
      <c r="Q768" s="296"/>
      <c r="R768" s="227"/>
      <c r="S768" s="228" t="e">
        <f>IF(C768="",NA(),MATCH($B768&amp;$C768,'Smelter Reference List'!$J:$J,0))</f>
        <v>#N/A</v>
      </c>
      <c r="T768" s="229"/>
      <c r="U768" s="229">
        <f t="shared" ca="1" si="24"/>
        <v>0</v>
      </c>
      <c r="V768" s="229"/>
      <c r="W768" s="229"/>
      <c r="Y768" s="223" t="str">
        <f t="shared" si="25"/>
        <v/>
      </c>
    </row>
    <row r="769" spans="1:25" s="223" customFormat="1" ht="20.25">
      <c r="A769" s="291"/>
      <c r="B769" s="292" t="str">
        <f>IF(LEN(A769)=0,"",INDEX('Smelter Reference List'!$A:$A,MATCH($A769,'Smelter Reference List'!$E:$E,0)))</f>
        <v/>
      </c>
      <c r="C769" s="298" t="str">
        <f>IF(LEN(A769)=0,"",INDEX('Smelter Reference List'!$C:$C,MATCH($A769,'Smelter Reference List'!$E:$E,0)))</f>
        <v/>
      </c>
      <c r="D769" s="292" t="str">
        <f ca="1">IF(ISERROR($S769),"",OFFSET('Smelter Reference List'!$C$4,$S769-4,0)&amp;"")</f>
        <v/>
      </c>
      <c r="E769" s="292" t="str">
        <f ca="1">IF(ISERROR($S769),"",OFFSET('Smelter Reference List'!$D$4,$S769-4,0)&amp;"")</f>
        <v/>
      </c>
      <c r="F769" s="292" t="str">
        <f ca="1">IF(ISERROR($S769),"",OFFSET('Smelter Reference List'!$E$4,$S769-4,0))</f>
        <v/>
      </c>
      <c r="G769" s="292" t="str">
        <f ca="1">IF(C769=$U$4,"Enter smelter details", IF(ISERROR($S769),"",OFFSET('Smelter Reference List'!$F$4,$S769-4,0)))</f>
        <v/>
      </c>
      <c r="H769" s="293" t="str">
        <f ca="1">IF(ISERROR($S769),"",OFFSET('Smelter Reference List'!$G$4,$S769-4,0))</f>
        <v/>
      </c>
      <c r="I769" s="294" t="str">
        <f ca="1">IF(ISERROR($S769),"",OFFSET('Smelter Reference List'!$H$4,$S769-4,0))</f>
        <v/>
      </c>
      <c r="J769" s="294" t="str">
        <f ca="1">IF(ISERROR($S769),"",OFFSET('Smelter Reference List'!$I$4,$S769-4,0))</f>
        <v/>
      </c>
      <c r="K769" s="295"/>
      <c r="L769" s="295"/>
      <c r="M769" s="295"/>
      <c r="N769" s="295"/>
      <c r="O769" s="295"/>
      <c r="P769" s="295"/>
      <c r="Q769" s="296"/>
      <c r="R769" s="227"/>
      <c r="S769" s="228" t="e">
        <f>IF(C769="",NA(),MATCH($B769&amp;$C769,'Smelter Reference List'!$J:$J,0))</f>
        <v>#N/A</v>
      </c>
      <c r="T769" s="229"/>
      <c r="U769" s="229">
        <f t="shared" ca="1" si="24"/>
        <v>0</v>
      </c>
      <c r="V769" s="229"/>
      <c r="W769" s="229"/>
      <c r="Y769" s="223" t="str">
        <f t="shared" si="25"/>
        <v/>
      </c>
    </row>
    <row r="770" spans="1:25" s="223" customFormat="1" ht="20.25">
      <c r="A770" s="291"/>
      <c r="B770" s="292" t="str">
        <f>IF(LEN(A770)=0,"",INDEX('Smelter Reference List'!$A:$A,MATCH($A770,'Smelter Reference List'!$E:$E,0)))</f>
        <v/>
      </c>
      <c r="C770" s="298" t="str">
        <f>IF(LEN(A770)=0,"",INDEX('Smelter Reference List'!$C:$C,MATCH($A770,'Smelter Reference List'!$E:$E,0)))</f>
        <v/>
      </c>
      <c r="D770" s="292" t="str">
        <f ca="1">IF(ISERROR($S770),"",OFFSET('Smelter Reference List'!$C$4,$S770-4,0)&amp;"")</f>
        <v/>
      </c>
      <c r="E770" s="292" t="str">
        <f ca="1">IF(ISERROR($S770),"",OFFSET('Smelter Reference List'!$D$4,$S770-4,0)&amp;"")</f>
        <v/>
      </c>
      <c r="F770" s="292" t="str">
        <f ca="1">IF(ISERROR($S770),"",OFFSET('Smelter Reference List'!$E$4,$S770-4,0))</f>
        <v/>
      </c>
      <c r="G770" s="292" t="str">
        <f ca="1">IF(C770=$U$4,"Enter smelter details", IF(ISERROR($S770),"",OFFSET('Smelter Reference List'!$F$4,$S770-4,0)))</f>
        <v/>
      </c>
      <c r="H770" s="293" t="str">
        <f ca="1">IF(ISERROR($S770),"",OFFSET('Smelter Reference List'!$G$4,$S770-4,0))</f>
        <v/>
      </c>
      <c r="I770" s="294" t="str">
        <f ca="1">IF(ISERROR($S770),"",OFFSET('Smelter Reference List'!$H$4,$S770-4,0))</f>
        <v/>
      </c>
      <c r="J770" s="294" t="str">
        <f ca="1">IF(ISERROR($S770),"",OFFSET('Smelter Reference List'!$I$4,$S770-4,0))</f>
        <v/>
      </c>
      <c r="K770" s="295"/>
      <c r="L770" s="295"/>
      <c r="M770" s="295"/>
      <c r="N770" s="295"/>
      <c r="O770" s="295"/>
      <c r="P770" s="295"/>
      <c r="Q770" s="296"/>
      <c r="R770" s="227"/>
      <c r="S770" s="228" t="e">
        <f>IF(C770="",NA(),MATCH($B770&amp;$C770,'Smelter Reference List'!$J:$J,0))</f>
        <v>#N/A</v>
      </c>
      <c r="T770" s="229"/>
      <c r="U770" s="229">
        <f t="shared" ca="1" si="24"/>
        <v>0</v>
      </c>
      <c r="V770" s="229"/>
      <c r="W770" s="229"/>
      <c r="Y770" s="223" t="str">
        <f t="shared" si="25"/>
        <v/>
      </c>
    </row>
    <row r="771" spans="1:25" s="223" customFormat="1" ht="20.25">
      <c r="A771" s="291"/>
      <c r="B771" s="292" t="str">
        <f>IF(LEN(A771)=0,"",INDEX('Smelter Reference List'!$A:$A,MATCH($A771,'Smelter Reference List'!$E:$E,0)))</f>
        <v/>
      </c>
      <c r="C771" s="298" t="str">
        <f>IF(LEN(A771)=0,"",INDEX('Smelter Reference List'!$C:$C,MATCH($A771,'Smelter Reference List'!$E:$E,0)))</f>
        <v/>
      </c>
      <c r="D771" s="292" t="str">
        <f ca="1">IF(ISERROR($S771),"",OFFSET('Smelter Reference List'!$C$4,$S771-4,0)&amp;"")</f>
        <v/>
      </c>
      <c r="E771" s="292" t="str">
        <f ca="1">IF(ISERROR($S771),"",OFFSET('Smelter Reference List'!$D$4,$S771-4,0)&amp;"")</f>
        <v/>
      </c>
      <c r="F771" s="292" t="str">
        <f ca="1">IF(ISERROR($S771),"",OFFSET('Smelter Reference List'!$E$4,$S771-4,0))</f>
        <v/>
      </c>
      <c r="G771" s="292" t="str">
        <f ca="1">IF(C771=$U$4,"Enter smelter details", IF(ISERROR($S771),"",OFFSET('Smelter Reference List'!$F$4,$S771-4,0)))</f>
        <v/>
      </c>
      <c r="H771" s="293" t="str">
        <f ca="1">IF(ISERROR($S771),"",OFFSET('Smelter Reference List'!$G$4,$S771-4,0))</f>
        <v/>
      </c>
      <c r="I771" s="294" t="str">
        <f ca="1">IF(ISERROR($S771),"",OFFSET('Smelter Reference List'!$H$4,$S771-4,0))</f>
        <v/>
      </c>
      <c r="J771" s="294" t="str">
        <f ca="1">IF(ISERROR($S771),"",OFFSET('Smelter Reference List'!$I$4,$S771-4,0))</f>
        <v/>
      </c>
      <c r="K771" s="295"/>
      <c r="L771" s="295"/>
      <c r="M771" s="295"/>
      <c r="N771" s="295"/>
      <c r="O771" s="295"/>
      <c r="P771" s="295"/>
      <c r="Q771" s="296"/>
      <c r="R771" s="227"/>
      <c r="S771" s="228" t="e">
        <f>IF(C771="",NA(),MATCH($B771&amp;$C771,'Smelter Reference List'!$J:$J,0))</f>
        <v>#N/A</v>
      </c>
      <c r="T771" s="229"/>
      <c r="U771" s="229">
        <f t="shared" ca="1" si="24"/>
        <v>0</v>
      </c>
      <c r="V771" s="229"/>
      <c r="W771" s="229"/>
      <c r="Y771" s="223" t="str">
        <f t="shared" si="25"/>
        <v/>
      </c>
    </row>
    <row r="772" spans="1:25" s="223" customFormat="1" ht="20.25">
      <c r="A772" s="291"/>
      <c r="B772" s="292" t="str">
        <f>IF(LEN(A772)=0,"",INDEX('Smelter Reference List'!$A:$A,MATCH($A772,'Smelter Reference List'!$E:$E,0)))</f>
        <v/>
      </c>
      <c r="C772" s="298" t="str">
        <f>IF(LEN(A772)=0,"",INDEX('Smelter Reference List'!$C:$C,MATCH($A772,'Smelter Reference List'!$E:$E,0)))</f>
        <v/>
      </c>
      <c r="D772" s="292" t="str">
        <f ca="1">IF(ISERROR($S772),"",OFFSET('Smelter Reference List'!$C$4,$S772-4,0)&amp;"")</f>
        <v/>
      </c>
      <c r="E772" s="292" t="str">
        <f ca="1">IF(ISERROR($S772),"",OFFSET('Smelter Reference List'!$D$4,$S772-4,0)&amp;"")</f>
        <v/>
      </c>
      <c r="F772" s="292" t="str">
        <f ca="1">IF(ISERROR($S772),"",OFFSET('Smelter Reference List'!$E$4,$S772-4,0))</f>
        <v/>
      </c>
      <c r="G772" s="292" t="str">
        <f ca="1">IF(C772=$U$4,"Enter smelter details", IF(ISERROR($S772),"",OFFSET('Smelter Reference List'!$F$4,$S772-4,0)))</f>
        <v/>
      </c>
      <c r="H772" s="293" t="str">
        <f ca="1">IF(ISERROR($S772),"",OFFSET('Smelter Reference List'!$G$4,$S772-4,0))</f>
        <v/>
      </c>
      <c r="I772" s="294" t="str">
        <f ca="1">IF(ISERROR($S772),"",OFFSET('Smelter Reference List'!$H$4,$S772-4,0))</f>
        <v/>
      </c>
      <c r="J772" s="294" t="str">
        <f ca="1">IF(ISERROR($S772),"",OFFSET('Smelter Reference List'!$I$4,$S772-4,0))</f>
        <v/>
      </c>
      <c r="K772" s="295"/>
      <c r="L772" s="295"/>
      <c r="M772" s="295"/>
      <c r="N772" s="295"/>
      <c r="O772" s="295"/>
      <c r="P772" s="295"/>
      <c r="Q772" s="296"/>
      <c r="R772" s="227"/>
      <c r="S772" s="228" t="e">
        <f>IF(C772="",NA(),MATCH($B772&amp;$C772,'Smelter Reference List'!$J:$J,0))</f>
        <v>#N/A</v>
      </c>
      <c r="T772" s="229"/>
      <c r="U772" s="229">
        <f t="shared" ca="1" si="24"/>
        <v>0</v>
      </c>
      <c r="V772" s="229"/>
      <c r="W772" s="229"/>
      <c r="Y772" s="223" t="str">
        <f t="shared" si="25"/>
        <v/>
      </c>
    </row>
    <row r="773" spans="1:25" s="223" customFormat="1" ht="20.25">
      <c r="A773" s="291"/>
      <c r="B773" s="292" t="str">
        <f>IF(LEN(A773)=0,"",INDEX('Smelter Reference List'!$A:$A,MATCH($A773,'Smelter Reference List'!$E:$E,0)))</f>
        <v/>
      </c>
      <c r="C773" s="298" t="str">
        <f>IF(LEN(A773)=0,"",INDEX('Smelter Reference List'!$C:$C,MATCH($A773,'Smelter Reference List'!$E:$E,0)))</f>
        <v/>
      </c>
      <c r="D773" s="292" t="str">
        <f ca="1">IF(ISERROR($S773),"",OFFSET('Smelter Reference List'!$C$4,$S773-4,0)&amp;"")</f>
        <v/>
      </c>
      <c r="E773" s="292" t="str">
        <f ca="1">IF(ISERROR($S773),"",OFFSET('Smelter Reference List'!$D$4,$S773-4,0)&amp;"")</f>
        <v/>
      </c>
      <c r="F773" s="292" t="str">
        <f ca="1">IF(ISERROR($S773),"",OFFSET('Smelter Reference List'!$E$4,$S773-4,0))</f>
        <v/>
      </c>
      <c r="G773" s="292" t="str">
        <f ca="1">IF(C773=$U$4,"Enter smelter details", IF(ISERROR($S773),"",OFFSET('Smelter Reference List'!$F$4,$S773-4,0)))</f>
        <v/>
      </c>
      <c r="H773" s="293" t="str">
        <f ca="1">IF(ISERROR($S773),"",OFFSET('Smelter Reference List'!$G$4,$S773-4,0))</f>
        <v/>
      </c>
      <c r="I773" s="294" t="str">
        <f ca="1">IF(ISERROR($S773),"",OFFSET('Smelter Reference List'!$H$4,$S773-4,0))</f>
        <v/>
      </c>
      <c r="J773" s="294" t="str">
        <f ca="1">IF(ISERROR($S773),"",OFFSET('Smelter Reference List'!$I$4,$S773-4,0))</f>
        <v/>
      </c>
      <c r="K773" s="295"/>
      <c r="L773" s="295"/>
      <c r="M773" s="295"/>
      <c r="N773" s="295"/>
      <c r="O773" s="295"/>
      <c r="P773" s="295"/>
      <c r="Q773" s="296"/>
      <c r="R773" s="227"/>
      <c r="S773" s="228" t="e">
        <f>IF(C773="",NA(),MATCH($B773&amp;$C773,'Smelter Reference List'!$J:$J,0))</f>
        <v>#N/A</v>
      </c>
      <c r="T773" s="229"/>
      <c r="U773" s="229">
        <f t="shared" ref="U773:U836" ca="1" si="26">IF(AND(C773="Smelter not listed",OR(LEN(D773)=0,LEN(E773)=0)),1,0)</f>
        <v>0</v>
      </c>
      <c r="V773" s="229"/>
      <c r="W773" s="229"/>
      <c r="Y773" s="223" t="str">
        <f t="shared" ref="Y773:Y836" si="27">B773&amp;C773</f>
        <v/>
      </c>
    </row>
    <row r="774" spans="1:25" s="223" customFormat="1" ht="20.25">
      <c r="A774" s="291"/>
      <c r="B774" s="292" t="str">
        <f>IF(LEN(A774)=0,"",INDEX('Smelter Reference List'!$A:$A,MATCH($A774,'Smelter Reference List'!$E:$E,0)))</f>
        <v/>
      </c>
      <c r="C774" s="298" t="str">
        <f>IF(LEN(A774)=0,"",INDEX('Smelter Reference List'!$C:$C,MATCH($A774,'Smelter Reference List'!$E:$E,0)))</f>
        <v/>
      </c>
      <c r="D774" s="292" t="str">
        <f ca="1">IF(ISERROR($S774),"",OFFSET('Smelter Reference List'!$C$4,$S774-4,0)&amp;"")</f>
        <v/>
      </c>
      <c r="E774" s="292" t="str">
        <f ca="1">IF(ISERROR($S774),"",OFFSET('Smelter Reference List'!$D$4,$S774-4,0)&amp;"")</f>
        <v/>
      </c>
      <c r="F774" s="292" t="str">
        <f ca="1">IF(ISERROR($S774),"",OFFSET('Smelter Reference List'!$E$4,$S774-4,0))</f>
        <v/>
      </c>
      <c r="G774" s="292" t="str">
        <f ca="1">IF(C774=$U$4,"Enter smelter details", IF(ISERROR($S774),"",OFFSET('Smelter Reference List'!$F$4,$S774-4,0)))</f>
        <v/>
      </c>
      <c r="H774" s="293" t="str">
        <f ca="1">IF(ISERROR($S774),"",OFFSET('Smelter Reference List'!$G$4,$S774-4,0))</f>
        <v/>
      </c>
      <c r="I774" s="294" t="str">
        <f ca="1">IF(ISERROR($S774),"",OFFSET('Smelter Reference List'!$H$4,$S774-4,0))</f>
        <v/>
      </c>
      <c r="J774" s="294" t="str">
        <f ca="1">IF(ISERROR($S774),"",OFFSET('Smelter Reference List'!$I$4,$S774-4,0))</f>
        <v/>
      </c>
      <c r="K774" s="295"/>
      <c r="L774" s="295"/>
      <c r="M774" s="295"/>
      <c r="N774" s="295"/>
      <c r="O774" s="295"/>
      <c r="P774" s="295"/>
      <c r="Q774" s="296"/>
      <c r="R774" s="227"/>
      <c r="S774" s="228" t="e">
        <f>IF(C774="",NA(),MATCH($B774&amp;$C774,'Smelter Reference List'!$J:$J,0))</f>
        <v>#N/A</v>
      </c>
      <c r="T774" s="229"/>
      <c r="U774" s="229">
        <f t="shared" ca="1" si="26"/>
        <v>0</v>
      </c>
      <c r="V774" s="229"/>
      <c r="W774" s="229"/>
      <c r="Y774" s="223" t="str">
        <f t="shared" si="27"/>
        <v/>
      </c>
    </row>
    <row r="775" spans="1:25" s="223" customFormat="1" ht="20.25">
      <c r="A775" s="291"/>
      <c r="B775" s="292" t="str">
        <f>IF(LEN(A775)=0,"",INDEX('Smelter Reference List'!$A:$A,MATCH($A775,'Smelter Reference List'!$E:$E,0)))</f>
        <v/>
      </c>
      <c r="C775" s="298" t="str">
        <f>IF(LEN(A775)=0,"",INDEX('Smelter Reference List'!$C:$C,MATCH($A775,'Smelter Reference List'!$E:$E,0)))</f>
        <v/>
      </c>
      <c r="D775" s="292" t="str">
        <f ca="1">IF(ISERROR($S775),"",OFFSET('Smelter Reference List'!$C$4,$S775-4,0)&amp;"")</f>
        <v/>
      </c>
      <c r="E775" s="292" t="str">
        <f ca="1">IF(ISERROR($S775),"",OFFSET('Smelter Reference List'!$D$4,$S775-4,0)&amp;"")</f>
        <v/>
      </c>
      <c r="F775" s="292" t="str">
        <f ca="1">IF(ISERROR($S775),"",OFFSET('Smelter Reference List'!$E$4,$S775-4,0))</f>
        <v/>
      </c>
      <c r="G775" s="292" t="str">
        <f ca="1">IF(C775=$U$4,"Enter smelter details", IF(ISERROR($S775),"",OFFSET('Smelter Reference List'!$F$4,$S775-4,0)))</f>
        <v/>
      </c>
      <c r="H775" s="293" t="str">
        <f ca="1">IF(ISERROR($S775),"",OFFSET('Smelter Reference List'!$G$4,$S775-4,0))</f>
        <v/>
      </c>
      <c r="I775" s="294" t="str">
        <f ca="1">IF(ISERROR($S775),"",OFFSET('Smelter Reference List'!$H$4,$S775-4,0))</f>
        <v/>
      </c>
      <c r="J775" s="294" t="str">
        <f ca="1">IF(ISERROR($S775),"",OFFSET('Smelter Reference List'!$I$4,$S775-4,0))</f>
        <v/>
      </c>
      <c r="K775" s="295"/>
      <c r="L775" s="295"/>
      <c r="M775" s="295"/>
      <c r="N775" s="295"/>
      <c r="O775" s="295"/>
      <c r="P775" s="295"/>
      <c r="Q775" s="296"/>
      <c r="R775" s="227"/>
      <c r="S775" s="228" t="e">
        <f>IF(C775="",NA(),MATCH($B775&amp;$C775,'Smelter Reference List'!$J:$J,0))</f>
        <v>#N/A</v>
      </c>
      <c r="T775" s="229"/>
      <c r="U775" s="229">
        <f t="shared" ca="1" si="26"/>
        <v>0</v>
      </c>
      <c r="V775" s="229"/>
      <c r="W775" s="229"/>
      <c r="Y775" s="223" t="str">
        <f t="shared" si="27"/>
        <v/>
      </c>
    </row>
    <row r="776" spans="1:25" s="223" customFormat="1" ht="20.25">
      <c r="A776" s="291"/>
      <c r="B776" s="292" t="str">
        <f>IF(LEN(A776)=0,"",INDEX('Smelter Reference List'!$A:$A,MATCH($A776,'Smelter Reference List'!$E:$E,0)))</f>
        <v/>
      </c>
      <c r="C776" s="298" t="str">
        <f>IF(LEN(A776)=0,"",INDEX('Smelter Reference List'!$C:$C,MATCH($A776,'Smelter Reference List'!$E:$E,0)))</f>
        <v/>
      </c>
      <c r="D776" s="292" t="str">
        <f ca="1">IF(ISERROR($S776),"",OFFSET('Smelter Reference List'!$C$4,$S776-4,0)&amp;"")</f>
        <v/>
      </c>
      <c r="E776" s="292" t="str">
        <f ca="1">IF(ISERROR($S776),"",OFFSET('Smelter Reference List'!$D$4,$S776-4,0)&amp;"")</f>
        <v/>
      </c>
      <c r="F776" s="292" t="str">
        <f ca="1">IF(ISERROR($S776),"",OFFSET('Smelter Reference List'!$E$4,$S776-4,0))</f>
        <v/>
      </c>
      <c r="G776" s="292" t="str">
        <f ca="1">IF(C776=$U$4,"Enter smelter details", IF(ISERROR($S776),"",OFFSET('Smelter Reference List'!$F$4,$S776-4,0)))</f>
        <v/>
      </c>
      <c r="H776" s="293" t="str">
        <f ca="1">IF(ISERROR($S776),"",OFFSET('Smelter Reference List'!$G$4,$S776-4,0))</f>
        <v/>
      </c>
      <c r="I776" s="294" t="str">
        <f ca="1">IF(ISERROR($S776),"",OFFSET('Smelter Reference List'!$H$4,$S776-4,0))</f>
        <v/>
      </c>
      <c r="J776" s="294" t="str">
        <f ca="1">IF(ISERROR($S776),"",OFFSET('Smelter Reference List'!$I$4,$S776-4,0))</f>
        <v/>
      </c>
      <c r="K776" s="295"/>
      <c r="L776" s="295"/>
      <c r="M776" s="295"/>
      <c r="N776" s="295"/>
      <c r="O776" s="295"/>
      <c r="P776" s="295"/>
      <c r="Q776" s="296"/>
      <c r="R776" s="227"/>
      <c r="S776" s="228" t="e">
        <f>IF(C776="",NA(),MATCH($B776&amp;$C776,'Smelter Reference List'!$J:$J,0))</f>
        <v>#N/A</v>
      </c>
      <c r="T776" s="229"/>
      <c r="U776" s="229">
        <f t="shared" ca="1" si="26"/>
        <v>0</v>
      </c>
      <c r="V776" s="229"/>
      <c r="W776" s="229"/>
      <c r="Y776" s="223" t="str">
        <f t="shared" si="27"/>
        <v/>
      </c>
    </row>
    <row r="777" spans="1:25" s="223" customFormat="1" ht="20.25">
      <c r="A777" s="291"/>
      <c r="B777" s="292" t="str">
        <f>IF(LEN(A777)=0,"",INDEX('Smelter Reference List'!$A:$A,MATCH($A777,'Smelter Reference List'!$E:$E,0)))</f>
        <v/>
      </c>
      <c r="C777" s="298" t="str">
        <f>IF(LEN(A777)=0,"",INDEX('Smelter Reference List'!$C:$C,MATCH($A777,'Smelter Reference List'!$E:$E,0)))</f>
        <v/>
      </c>
      <c r="D777" s="292" t="str">
        <f ca="1">IF(ISERROR($S777),"",OFFSET('Smelter Reference List'!$C$4,$S777-4,0)&amp;"")</f>
        <v/>
      </c>
      <c r="E777" s="292" t="str">
        <f ca="1">IF(ISERROR($S777),"",OFFSET('Smelter Reference List'!$D$4,$S777-4,0)&amp;"")</f>
        <v/>
      </c>
      <c r="F777" s="292" t="str">
        <f ca="1">IF(ISERROR($S777),"",OFFSET('Smelter Reference List'!$E$4,$S777-4,0))</f>
        <v/>
      </c>
      <c r="G777" s="292" t="str">
        <f ca="1">IF(C777=$U$4,"Enter smelter details", IF(ISERROR($S777),"",OFFSET('Smelter Reference List'!$F$4,$S777-4,0)))</f>
        <v/>
      </c>
      <c r="H777" s="293" t="str">
        <f ca="1">IF(ISERROR($S777),"",OFFSET('Smelter Reference List'!$G$4,$S777-4,0))</f>
        <v/>
      </c>
      <c r="I777" s="294" t="str">
        <f ca="1">IF(ISERROR($S777),"",OFFSET('Smelter Reference List'!$H$4,$S777-4,0))</f>
        <v/>
      </c>
      <c r="J777" s="294" t="str">
        <f ca="1">IF(ISERROR($S777),"",OFFSET('Smelter Reference List'!$I$4,$S777-4,0))</f>
        <v/>
      </c>
      <c r="K777" s="295"/>
      <c r="L777" s="295"/>
      <c r="M777" s="295"/>
      <c r="N777" s="295"/>
      <c r="O777" s="295"/>
      <c r="P777" s="295"/>
      <c r="Q777" s="296"/>
      <c r="R777" s="227"/>
      <c r="S777" s="228" t="e">
        <f>IF(C777="",NA(),MATCH($B777&amp;$C777,'Smelter Reference List'!$J:$J,0))</f>
        <v>#N/A</v>
      </c>
      <c r="T777" s="229"/>
      <c r="U777" s="229">
        <f t="shared" ca="1" si="26"/>
        <v>0</v>
      </c>
      <c r="V777" s="229"/>
      <c r="W777" s="229"/>
      <c r="Y777" s="223" t="str">
        <f t="shared" si="27"/>
        <v/>
      </c>
    </row>
    <row r="778" spans="1:25" s="223" customFormat="1" ht="20.25">
      <c r="A778" s="291"/>
      <c r="B778" s="292" t="str">
        <f>IF(LEN(A778)=0,"",INDEX('Smelter Reference List'!$A:$A,MATCH($A778,'Smelter Reference List'!$E:$E,0)))</f>
        <v/>
      </c>
      <c r="C778" s="298" t="str">
        <f>IF(LEN(A778)=0,"",INDEX('Smelter Reference List'!$C:$C,MATCH($A778,'Smelter Reference List'!$E:$E,0)))</f>
        <v/>
      </c>
      <c r="D778" s="292" t="str">
        <f ca="1">IF(ISERROR($S778),"",OFFSET('Smelter Reference List'!$C$4,$S778-4,0)&amp;"")</f>
        <v/>
      </c>
      <c r="E778" s="292" t="str">
        <f ca="1">IF(ISERROR($S778),"",OFFSET('Smelter Reference List'!$D$4,$S778-4,0)&amp;"")</f>
        <v/>
      </c>
      <c r="F778" s="292" t="str">
        <f ca="1">IF(ISERROR($S778),"",OFFSET('Smelter Reference List'!$E$4,$S778-4,0))</f>
        <v/>
      </c>
      <c r="G778" s="292" t="str">
        <f ca="1">IF(C778=$U$4,"Enter smelter details", IF(ISERROR($S778),"",OFFSET('Smelter Reference List'!$F$4,$S778-4,0)))</f>
        <v/>
      </c>
      <c r="H778" s="293" t="str">
        <f ca="1">IF(ISERROR($S778),"",OFFSET('Smelter Reference List'!$G$4,$S778-4,0))</f>
        <v/>
      </c>
      <c r="I778" s="294" t="str">
        <f ca="1">IF(ISERROR($S778),"",OFFSET('Smelter Reference List'!$H$4,$S778-4,0))</f>
        <v/>
      </c>
      <c r="J778" s="294" t="str">
        <f ca="1">IF(ISERROR($S778),"",OFFSET('Smelter Reference List'!$I$4,$S778-4,0))</f>
        <v/>
      </c>
      <c r="K778" s="295"/>
      <c r="L778" s="295"/>
      <c r="M778" s="295"/>
      <c r="N778" s="295"/>
      <c r="O778" s="295"/>
      <c r="P778" s="295"/>
      <c r="Q778" s="296"/>
      <c r="R778" s="227"/>
      <c r="S778" s="228" t="e">
        <f>IF(C778="",NA(),MATCH($B778&amp;$C778,'Smelter Reference List'!$J:$J,0))</f>
        <v>#N/A</v>
      </c>
      <c r="T778" s="229"/>
      <c r="U778" s="229">
        <f t="shared" ca="1" si="26"/>
        <v>0</v>
      </c>
      <c r="V778" s="229"/>
      <c r="W778" s="229"/>
      <c r="Y778" s="223" t="str">
        <f t="shared" si="27"/>
        <v/>
      </c>
    </row>
    <row r="779" spans="1:25" s="223" customFormat="1" ht="20.25">
      <c r="A779" s="291"/>
      <c r="B779" s="292" t="str">
        <f>IF(LEN(A779)=0,"",INDEX('Smelter Reference List'!$A:$A,MATCH($A779,'Smelter Reference List'!$E:$E,0)))</f>
        <v/>
      </c>
      <c r="C779" s="298" t="str">
        <f>IF(LEN(A779)=0,"",INDEX('Smelter Reference List'!$C:$C,MATCH($A779,'Smelter Reference List'!$E:$E,0)))</f>
        <v/>
      </c>
      <c r="D779" s="292" t="str">
        <f ca="1">IF(ISERROR($S779),"",OFFSET('Smelter Reference List'!$C$4,$S779-4,0)&amp;"")</f>
        <v/>
      </c>
      <c r="E779" s="292" t="str">
        <f ca="1">IF(ISERROR($S779),"",OFFSET('Smelter Reference List'!$D$4,$S779-4,0)&amp;"")</f>
        <v/>
      </c>
      <c r="F779" s="292" t="str">
        <f ca="1">IF(ISERROR($S779),"",OFFSET('Smelter Reference List'!$E$4,$S779-4,0))</f>
        <v/>
      </c>
      <c r="G779" s="292" t="str">
        <f ca="1">IF(C779=$U$4,"Enter smelter details", IF(ISERROR($S779),"",OFFSET('Smelter Reference List'!$F$4,$S779-4,0)))</f>
        <v/>
      </c>
      <c r="H779" s="293" t="str">
        <f ca="1">IF(ISERROR($S779),"",OFFSET('Smelter Reference List'!$G$4,$S779-4,0))</f>
        <v/>
      </c>
      <c r="I779" s="294" t="str">
        <f ca="1">IF(ISERROR($S779),"",OFFSET('Smelter Reference List'!$H$4,$S779-4,0))</f>
        <v/>
      </c>
      <c r="J779" s="294" t="str">
        <f ca="1">IF(ISERROR($S779),"",OFFSET('Smelter Reference List'!$I$4,$S779-4,0))</f>
        <v/>
      </c>
      <c r="K779" s="295"/>
      <c r="L779" s="295"/>
      <c r="M779" s="295"/>
      <c r="N779" s="295"/>
      <c r="O779" s="295"/>
      <c r="P779" s="295"/>
      <c r="Q779" s="296"/>
      <c r="R779" s="227"/>
      <c r="S779" s="228" t="e">
        <f>IF(C779="",NA(),MATCH($B779&amp;$C779,'Smelter Reference List'!$J:$J,0))</f>
        <v>#N/A</v>
      </c>
      <c r="T779" s="229"/>
      <c r="U779" s="229">
        <f t="shared" ca="1" si="26"/>
        <v>0</v>
      </c>
      <c r="V779" s="229"/>
      <c r="W779" s="229"/>
      <c r="Y779" s="223" t="str">
        <f t="shared" si="27"/>
        <v/>
      </c>
    </row>
    <row r="780" spans="1:25" s="223" customFormat="1" ht="20.25">
      <c r="A780" s="291"/>
      <c r="B780" s="292" t="str">
        <f>IF(LEN(A780)=0,"",INDEX('Smelter Reference List'!$A:$A,MATCH($A780,'Smelter Reference List'!$E:$E,0)))</f>
        <v/>
      </c>
      <c r="C780" s="298" t="str">
        <f>IF(LEN(A780)=0,"",INDEX('Smelter Reference List'!$C:$C,MATCH($A780,'Smelter Reference List'!$E:$E,0)))</f>
        <v/>
      </c>
      <c r="D780" s="292" t="str">
        <f ca="1">IF(ISERROR($S780),"",OFFSET('Smelter Reference List'!$C$4,$S780-4,0)&amp;"")</f>
        <v/>
      </c>
      <c r="E780" s="292" t="str">
        <f ca="1">IF(ISERROR($S780),"",OFFSET('Smelter Reference List'!$D$4,$S780-4,0)&amp;"")</f>
        <v/>
      </c>
      <c r="F780" s="292" t="str">
        <f ca="1">IF(ISERROR($S780),"",OFFSET('Smelter Reference List'!$E$4,$S780-4,0))</f>
        <v/>
      </c>
      <c r="G780" s="292" t="str">
        <f ca="1">IF(C780=$U$4,"Enter smelter details", IF(ISERROR($S780),"",OFFSET('Smelter Reference List'!$F$4,$S780-4,0)))</f>
        <v/>
      </c>
      <c r="H780" s="293" t="str">
        <f ca="1">IF(ISERROR($S780),"",OFFSET('Smelter Reference List'!$G$4,$S780-4,0))</f>
        <v/>
      </c>
      <c r="I780" s="294" t="str">
        <f ca="1">IF(ISERROR($S780),"",OFFSET('Smelter Reference List'!$H$4,$S780-4,0))</f>
        <v/>
      </c>
      <c r="J780" s="294" t="str">
        <f ca="1">IF(ISERROR($S780),"",OFFSET('Smelter Reference List'!$I$4,$S780-4,0))</f>
        <v/>
      </c>
      <c r="K780" s="295"/>
      <c r="L780" s="295"/>
      <c r="M780" s="295"/>
      <c r="N780" s="295"/>
      <c r="O780" s="295"/>
      <c r="P780" s="295"/>
      <c r="Q780" s="296"/>
      <c r="R780" s="227"/>
      <c r="S780" s="228" t="e">
        <f>IF(C780="",NA(),MATCH($B780&amp;$C780,'Smelter Reference List'!$J:$J,0))</f>
        <v>#N/A</v>
      </c>
      <c r="T780" s="229"/>
      <c r="U780" s="229">
        <f t="shared" ca="1" si="26"/>
        <v>0</v>
      </c>
      <c r="V780" s="229"/>
      <c r="W780" s="229"/>
      <c r="Y780" s="223" t="str">
        <f t="shared" si="27"/>
        <v/>
      </c>
    </row>
    <row r="781" spans="1:25" s="223" customFormat="1" ht="20.25">
      <c r="A781" s="291"/>
      <c r="B781" s="292" t="str">
        <f>IF(LEN(A781)=0,"",INDEX('Smelter Reference List'!$A:$A,MATCH($A781,'Smelter Reference List'!$E:$E,0)))</f>
        <v/>
      </c>
      <c r="C781" s="298" t="str">
        <f>IF(LEN(A781)=0,"",INDEX('Smelter Reference List'!$C:$C,MATCH($A781,'Smelter Reference List'!$E:$E,0)))</f>
        <v/>
      </c>
      <c r="D781" s="292" t="str">
        <f ca="1">IF(ISERROR($S781),"",OFFSET('Smelter Reference List'!$C$4,$S781-4,0)&amp;"")</f>
        <v/>
      </c>
      <c r="E781" s="292" t="str">
        <f ca="1">IF(ISERROR($S781),"",OFFSET('Smelter Reference List'!$D$4,$S781-4,0)&amp;"")</f>
        <v/>
      </c>
      <c r="F781" s="292" t="str">
        <f ca="1">IF(ISERROR($S781),"",OFFSET('Smelter Reference List'!$E$4,$S781-4,0))</f>
        <v/>
      </c>
      <c r="G781" s="292" t="str">
        <f ca="1">IF(C781=$U$4,"Enter smelter details", IF(ISERROR($S781),"",OFFSET('Smelter Reference List'!$F$4,$S781-4,0)))</f>
        <v/>
      </c>
      <c r="H781" s="293" t="str">
        <f ca="1">IF(ISERROR($S781),"",OFFSET('Smelter Reference List'!$G$4,$S781-4,0))</f>
        <v/>
      </c>
      <c r="I781" s="294" t="str">
        <f ca="1">IF(ISERROR($S781),"",OFFSET('Smelter Reference List'!$H$4,$S781-4,0))</f>
        <v/>
      </c>
      <c r="J781" s="294" t="str">
        <f ca="1">IF(ISERROR($S781),"",OFFSET('Smelter Reference List'!$I$4,$S781-4,0))</f>
        <v/>
      </c>
      <c r="K781" s="295"/>
      <c r="L781" s="295"/>
      <c r="M781" s="295"/>
      <c r="N781" s="295"/>
      <c r="O781" s="295"/>
      <c r="P781" s="295"/>
      <c r="Q781" s="296"/>
      <c r="R781" s="227"/>
      <c r="S781" s="228" t="e">
        <f>IF(C781="",NA(),MATCH($B781&amp;$C781,'Smelter Reference List'!$J:$J,0))</f>
        <v>#N/A</v>
      </c>
      <c r="T781" s="229"/>
      <c r="U781" s="229">
        <f t="shared" ca="1" si="26"/>
        <v>0</v>
      </c>
      <c r="V781" s="229"/>
      <c r="W781" s="229"/>
      <c r="Y781" s="223" t="str">
        <f t="shared" si="27"/>
        <v/>
      </c>
    </row>
    <row r="782" spans="1:25" s="223" customFormat="1" ht="20.25">
      <c r="A782" s="291"/>
      <c r="B782" s="292" t="str">
        <f>IF(LEN(A782)=0,"",INDEX('Smelter Reference List'!$A:$A,MATCH($A782,'Smelter Reference List'!$E:$E,0)))</f>
        <v/>
      </c>
      <c r="C782" s="298" t="str">
        <f>IF(LEN(A782)=0,"",INDEX('Smelter Reference List'!$C:$C,MATCH($A782,'Smelter Reference List'!$E:$E,0)))</f>
        <v/>
      </c>
      <c r="D782" s="292" t="str">
        <f ca="1">IF(ISERROR($S782),"",OFFSET('Smelter Reference List'!$C$4,$S782-4,0)&amp;"")</f>
        <v/>
      </c>
      <c r="E782" s="292" t="str">
        <f ca="1">IF(ISERROR($S782),"",OFFSET('Smelter Reference List'!$D$4,$S782-4,0)&amp;"")</f>
        <v/>
      </c>
      <c r="F782" s="292" t="str">
        <f ca="1">IF(ISERROR($S782),"",OFFSET('Smelter Reference List'!$E$4,$S782-4,0))</f>
        <v/>
      </c>
      <c r="G782" s="292" t="str">
        <f ca="1">IF(C782=$U$4,"Enter smelter details", IF(ISERROR($S782),"",OFFSET('Smelter Reference List'!$F$4,$S782-4,0)))</f>
        <v/>
      </c>
      <c r="H782" s="293" t="str">
        <f ca="1">IF(ISERROR($S782),"",OFFSET('Smelter Reference List'!$G$4,$S782-4,0))</f>
        <v/>
      </c>
      <c r="I782" s="294" t="str">
        <f ca="1">IF(ISERROR($S782),"",OFFSET('Smelter Reference List'!$H$4,$S782-4,0))</f>
        <v/>
      </c>
      <c r="J782" s="294" t="str">
        <f ca="1">IF(ISERROR($S782),"",OFFSET('Smelter Reference List'!$I$4,$S782-4,0))</f>
        <v/>
      </c>
      <c r="K782" s="295"/>
      <c r="L782" s="295"/>
      <c r="M782" s="295"/>
      <c r="N782" s="295"/>
      <c r="O782" s="295"/>
      <c r="P782" s="295"/>
      <c r="Q782" s="296"/>
      <c r="R782" s="227"/>
      <c r="S782" s="228" t="e">
        <f>IF(C782="",NA(),MATCH($B782&amp;$C782,'Smelter Reference List'!$J:$J,0))</f>
        <v>#N/A</v>
      </c>
      <c r="T782" s="229"/>
      <c r="U782" s="229">
        <f t="shared" ca="1" si="26"/>
        <v>0</v>
      </c>
      <c r="V782" s="229"/>
      <c r="W782" s="229"/>
      <c r="Y782" s="223" t="str">
        <f t="shared" si="27"/>
        <v/>
      </c>
    </row>
    <row r="783" spans="1:25" s="223" customFormat="1" ht="20.25">
      <c r="A783" s="291"/>
      <c r="B783" s="292" t="str">
        <f>IF(LEN(A783)=0,"",INDEX('Smelter Reference List'!$A:$A,MATCH($A783,'Smelter Reference List'!$E:$E,0)))</f>
        <v/>
      </c>
      <c r="C783" s="298" t="str">
        <f>IF(LEN(A783)=0,"",INDEX('Smelter Reference List'!$C:$C,MATCH($A783,'Smelter Reference List'!$E:$E,0)))</f>
        <v/>
      </c>
      <c r="D783" s="292" t="str">
        <f ca="1">IF(ISERROR($S783),"",OFFSET('Smelter Reference List'!$C$4,$S783-4,0)&amp;"")</f>
        <v/>
      </c>
      <c r="E783" s="292" t="str">
        <f ca="1">IF(ISERROR($S783),"",OFFSET('Smelter Reference List'!$D$4,$S783-4,0)&amp;"")</f>
        <v/>
      </c>
      <c r="F783" s="292" t="str">
        <f ca="1">IF(ISERROR($S783),"",OFFSET('Smelter Reference List'!$E$4,$S783-4,0))</f>
        <v/>
      </c>
      <c r="G783" s="292" t="str">
        <f ca="1">IF(C783=$U$4,"Enter smelter details", IF(ISERROR($S783),"",OFFSET('Smelter Reference List'!$F$4,$S783-4,0)))</f>
        <v/>
      </c>
      <c r="H783" s="293" t="str">
        <f ca="1">IF(ISERROR($S783),"",OFFSET('Smelter Reference List'!$G$4,$S783-4,0))</f>
        <v/>
      </c>
      <c r="I783" s="294" t="str">
        <f ca="1">IF(ISERROR($S783),"",OFFSET('Smelter Reference List'!$H$4,$S783-4,0))</f>
        <v/>
      </c>
      <c r="J783" s="294" t="str">
        <f ca="1">IF(ISERROR($S783),"",OFFSET('Smelter Reference List'!$I$4,$S783-4,0))</f>
        <v/>
      </c>
      <c r="K783" s="295"/>
      <c r="L783" s="295"/>
      <c r="M783" s="295"/>
      <c r="N783" s="295"/>
      <c r="O783" s="295"/>
      <c r="P783" s="295"/>
      <c r="Q783" s="296"/>
      <c r="R783" s="227"/>
      <c r="S783" s="228" t="e">
        <f>IF(C783="",NA(),MATCH($B783&amp;$C783,'Smelter Reference List'!$J:$J,0))</f>
        <v>#N/A</v>
      </c>
      <c r="T783" s="229"/>
      <c r="U783" s="229">
        <f t="shared" ca="1" si="26"/>
        <v>0</v>
      </c>
      <c r="V783" s="229"/>
      <c r="W783" s="229"/>
      <c r="Y783" s="223" t="str">
        <f t="shared" si="27"/>
        <v/>
      </c>
    </row>
    <row r="784" spans="1:25" s="223" customFormat="1" ht="20.25">
      <c r="A784" s="291"/>
      <c r="B784" s="292" t="str">
        <f>IF(LEN(A784)=0,"",INDEX('Smelter Reference List'!$A:$A,MATCH($A784,'Smelter Reference List'!$E:$E,0)))</f>
        <v/>
      </c>
      <c r="C784" s="298" t="str">
        <f>IF(LEN(A784)=0,"",INDEX('Smelter Reference List'!$C:$C,MATCH($A784,'Smelter Reference List'!$E:$E,0)))</f>
        <v/>
      </c>
      <c r="D784" s="292" t="str">
        <f ca="1">IF(ISERROR($S784),"",OFFSET('Smelter Reference List'!$C$4,$S784-4,0)&amp;"")</f>
        <v/>
      </c>
      <c r="E784" s="292" t="str">
        <f ca="1">IF(ISERROR($S784),"",OFFSET('Smelter Reference List'!$D$4,$S784-4,0)&amp;"")</f>
        <v/>
      </c>
      <c r="F784" s="292" t="str">
        <f ca="1">IF(ISERROR($S784),"",OFFSET('Smelter Reference List'!$E$4,$S784-4,0))</f>
        <v/>
      </c>
      <c r="G784" s="292" t="str">
        <f ca="1">IF(C784=$U$4,"Enter smelter details", IF(ISERROR($S784),"",OFFSET('Smelter Reference List'!$F$4,$S784-4,0)))</f>
        <v/>
      </c>
      <c r="H784" s="293" t="str">
        <f ca="1">IF(ISERROR($S784),"",OFFSET('Smelter Reference List'!$G$4,$S784-4,0))</f>
        <v/>
      </c>
      <c r="I784" s="294" t="str">
        <f ca="1">IF(ISERROR($S784),"",OFFSET('Smelter Reference List'!$H$4,$S784-4,0))</f>
        <v/>
      </c>
      <c r="J784" s="294" t="str">
        <f ca="1">IF(ISERROR($S784),"",OFFSET('Smelter Reference List'!$I$4,$S784-4,0))</f>
        <v/>
      </c>
      <c r="K784" s="295"/>
      <c r="L784" s="295"/>
      <c r="M784" s="295"/>
      <c r="N784" s="295"/>
      <c r="O784" s="295"/>
      <c r="P784" s="295"/>
      <c r="Q784" s="296"/>
      <c r="R784" s="227"/>
      <c r="S784" s="228" t="e">
        <f>IF(C784="",NA(),MATCH($B784&amp;$C784,'Smelter Reference List'!$J:$J,0))</f>
        <v>#N/A</v>
      </c>
      <c r="T784" s="229"/>
      <c r="U784" s="229">
        <f t="shared" ca="1" si="26"/>
        <v>0</v>
      </c>
      <c r="V784" s="229"/>
      <c r="W784" s="229"/>
      <c r="Y784" s="223" t="str">
        <f t="shared" si="27"/>
        <v/>
      </c>
    </row>
    <row r="785" spans="1:25" s="223" customFormat="1" ht="20.25">
      <c r="A785" s="291"/>
      <c r="B785" s="292" t="str">
        <f>IF(LEN(A785)=0,"",INDEX('Smelter Reference List'!$A:$A,MATCH($A785,'Smelter Reference List'!$E:$E,0)))</f>
        <v/>
      </c>
      <c r="C785" s="298" t="str">
        <f>IF(LEN(A785)=0,"",INDEX('Smelter Reference List'!$C:$C,MATCH($A785,'Smelter Reference List'!$E:$E,0)))</f>
        <v/>
      </c>
      <c r="D785" s="292" t="str">
        <f ca="1">IF(ISERROR($S785),"",OFFSET('Smelter Reference List'!$C$4,$S785-4,0)&amp;"")</f>
        <v/>
      </c>
      <c r="E785" s="292" t="str">
        <f ca="1">IF(ISERROR($S785),"",OFFSET('Smelter Reference List'!$D$4,$S785-4,0)&amp;"")</f>
        <v/>
      </c>
      <c r="F785" s="292" t="str">
        <f ca="1">IF(ISERROR($S785),"",OFFSET('Smelter Reference List'!$E$4,$S785-4,0))</f>
        <v/>
      </c>
      <c r="G785" s="292" t="str">
        <f ca="1">IF(C785=$U$4,"Enter smelter details", IF(ISERROR($S785),"",OFFSET('Smelter Reference List'!$F$4,$S785-4,0)))</f>
        <v/>
      </c>
      <c r="H785" s="293" t="str">
        <f ca="1">IF(ISERROR($S785),"",OFFSET('Smelter Reference List'!$G$4,$S785-4,0))</f>
        <v/>
      </c>
      <c r="I785" s="294" t="str">
        <f ca="1">IF(ISERROR($S785),"",OFFSET('Smelter Reference List'!$H$4,$S785-4,0))</f>
        <v/>
      </c>
      <c r="J785" s="294" t="str">
        <f ca="1">IF(ISERROR($S785),"",OFFSET('Smelter Reference List'!$I$4,$S785-4,0))</f>
        <v/>
      </c>
      <c r="K785" s="295"/>
      <c r="L785" s="295"/>
      <c r="M785" s="295"/>
      <c r="N785" s="295"/>
      <c r="O785" s="295"/>
      <c r="P785" s="295"/>
      <c r="Q785" s="296"/>
      <c r="R785" s="227"/>
      <c r="S785" s="228" t="e">
        <f>IF(C785="",NA(),MATCH($B785&amp;$C785,'Smelter Reference List'!$J:$J,0))</f>
        <v>#N/A</v>
      </c>
      <c r="T785" s="229"/>
      <c r="U785" s="229">
        <f t="shared" ca="1" si="26"/>
        <v>0</v>
      </c>
      <c r="V785" s="229"/>
      <c r="W785" s="229"/>
      <c r="Y785" s="223" t="str">
        <f t="shared" si="27"/>
        <v/>
      </c>
    </row>
    <row r="786" spans="1:25" s="223" customFormat="1" ht="20.25">
      <c r="A786" s="291"/>
      <c r="B786" s="292" t="str">
        <f>IF(LEN(A786)=0,"",INDEX('Smelter Reference List'!$A:$A,MATCH($A786,'Smelter Reference List'!$E:$E,0)))</f>
        <v/>
      </c>
      <c r="C786" s="298" t="str">
        <f>IF(LEN(A786)=0,"",INDEX('Smelter Reference List'!$C:$C,MATCH($A786,'Smelter Reference List'!$E:$E,0)))</f>
        <v/>
      </c>
      <c r="D786" s="292" t="str">
        <f ca="1">IF(ISERROR($S786),"",OFFSET('Smelter Reference List'!$C$4,$S786-4,0)&amp;"")</f>
        <v/>
      </c>
      <c r="E786" s="292" t="str">
        <f ca="1">IF(ISERROR($S786),"",OFFSET('Smelter Reference List'!$D$4,$S786-4,0)&amp;"")</f>
        <v/>
      </c>
      <c r="F786" s="292" t="str">
        <f ca="1">IF(ISERROR($S786),"",OFFSET('Smelter Reference List'!$E$4,$S786-4,0))</f>
        <v/>
      </c>
      <c r="G786" s="292" t="str">
        <f ca="1">IF(C786=$U$4,"Enter smelter details", IF(ISERROR($S786),"",OFFSET('Smelter Reference List'!$F$4,$S786-4,0)))</f>
        <v/>
      </c>
      <c r="H786" s="293" t="str">
        <f ca="1">IF(ISERROR($S786),"",OFFSET('Smelter Reference List'!$G$4,$S786-4,0))</f>
        <v/>
      </c>
      <c r="I786" s="294" t="str">
        <f ca="1">IF(ISERROR($S786),"",OFFSET('Smelter Reference List'!$H$4,$S786-4,0))</f>
        <v/>
      </c>
      <c r="J786" s="294" t="str">
        <f ca="1">IF(ISERROR($S786),"",OFFSET('Smelter Reference List'!$I$4,$S786-4,0))</f>
        <v/>
      </c>
      <c r="K786" s="295"/>
      <c r="L786" s="295"/>
      <c r="M786" s="295"/>
      <c r="N786" s="295"/>
      <c r="O786" s="295"/>
      <c r="P786" s="295"/>
      <c r="Q786" s="296"/>
      <c r="R786" s="227"/>
      <c r="S786" s="228" t="e">
        <f>IF(C786="",NA(),MATCH($B786&amp;$C786,'Smelter Reference List'!$J:$J,0))</f>
        <v>#N/A</v>
      </c>
      <c r="T786" s="229"/>
      <c r="U786" s="229">
        <f t="shared" ca="1" si="26"/>
        <v>0</v>
      </c>
      <c r="V786" s="229"/>
      <c r="W786" s="229"/>
      <c r="Y786" s="223" t="str">
        <f t="shared" si="27"/>
        <v/>
      </c>
    </row>
    <row r="787" spans="1:25" s="223" customFormat="1" ht="20.25">
      <c r="A787" s="291"/>
      <c r="B787" s="292" t="str">
        <f>IF(LEN(A787)=0,"",INDEX('Smelter Reference List'!$A:$A,MATCH($A787,'Smelter Reference List'!$E:$E,0)))</f>
        <v/>
      </c>
      <c r="C787" s="298" t="str">
        <f>IF(LEN(A787)=0,"",INDEX('Smelter Reference List'!$C:$C,MATCH($A787,'Smelter Reference List'!$E:$E,0)))</f>
        <v/>
      </c>
      <c r="D787" s="292" t="str">
        <f ca="1">IF(ISERROR($S787),"",OFFSET('Smelter Reference List'!$C$4,$S787-4,0)&amp;"")</f>
        <v/>
      </c>
      <c r="E787" s="292" t="str">
        <f ca="1">IF(ISERROR($S787),"",OFFSET('Smelter Reference List'!$D$4,$S787-4,0)&amp;"")</f>
        <v/>
      </c>
      <c r="F787" s="292" t="str">
        <f ca="1">IF(ISERROR($S787),"",OFFSET('Smelter Reference List'!$E$4,$S787-4,0))</f>
        <v/>
      </c>
      <c r="G787" s="292" t="str">
        <f ca="1">IF(C787=$U$4,"Enter smelter details", IF(ISERROR($S787),"",OFFSET('Smelter Reference List'!$F$4,$S787-4,0)))</f>
        <v/>
      </c>
      <c r="H787" s="293" t="str">
        <f ca="1">IF(ISERROR($S787),"",OFFSET('Smelter Reference List'!$G$4,$S787-4,0))</f>
        <v/>
      </c>
      <c r="I787" s="294" t="str">
        <f ca="1">IF(ISERROR($S787),"",OFFSET('Smelter Reference List'!$H$4,$S787-4,0))</f>
        <v/>
      </c>
      <c r="J787" s="294" t="str">
        <f ca="1">IF(ISERROR($S787),"",OFFSET('Smelter Reference List'!$I$4,$S787-4,0))</f>
        <v/>
      </c>
      <c r="K787" s="295"/>
      <c r="L787" s="295"/>
      <c r="M787" s="295"/>
      <c r="N787" s="295"/>
      <c r="O787" s="295"/>
      <c r="P787" s="295"/>
      <c r="Q787" s="296"/>
      <c r="R787" s="227"/>
      <c r="S787" s="228" t="e">
        <f>IF(C787="",NA(),MATCH($B787&amp;$C787,'Smelter Reference List'!$J:$J,0))</f>
        <v>#N/A</v>
      </c>
      <c r="T787" s="229"/>
      <c r="U787" s="229">
        <f t="shared" ca="1" si="26"/>
        <v>0</v>
      </c>
      <c r="V787" s="229"/>
      <c r="W787" s="229"/>
      <c r="Y787" s="223" t="str">
        <f t="shared" si="27"/>
        <v/>
      </c>
    </row>
    <row r="788" spans="1:25" s="223" customFormat="1" ht="20.25">
      <c r="A788" s="291"/>
      <c r="B788" s="292" t="str">
        <f>IF(LEN(A788)=0,"",INDEX('Smelter Reference List'!$A:$A,MATCH($A788,'Smelter Reference List'!$E:$E,0)))</f>
        <v/>
      </c>
      <c r="C788" s="298" t="str">
        <f>IF(LEN(A788)=0,"",INDEX('Smelter Reference List'!$C:$C,MATCH($A788,'Smelter Reference List'!$E:$E,0)))</f>
        <v/>
      </c>
      <c r="D788" s="292" t="str">
        <f ca="1">IF(ISERROR($S788),"",OFFSET('Smelter Reference List'!$C$4,$S788-4,0)&amp;"")</f>
        <v/>
      </c>
      <c r="E788" s="292" t="str">
        <f ca="1">IF(ISERROR($S788),"",OFFSET('Smelter Reference List'!$D$4,$S788-4,0)&amp;"")</f>
        <v/>
      </c>
      <c r="F788" s="292" t="str">
        <f ca="1">IF(ISERROR($S788),"",OFFSET('Smelter Reference List'!$E$4,$S788-4,0))</f>
        <v/>
      </c>
      <c r="G788" s="292" t="str">
        <f ca="1">IF(C788=$U$4,"Enter smelter details", IF(ISERROR($S788),"",OFFSET('Smelter Reference List'!$F$4,$S788-4,0)))</f>
        <v/>
      </c>
      <c r="H788" s="293" t="str">
        <f ca="1">IF(ISERROR($S788),"",OFFSET('Smelter Reference List'!$G$4,$S788-4,0))</f>
        <v/>
      </c>
      <c r="I788" s="294" t="str">
        <f ca="1">IF(ISERROR($S788),"",OFFSET('Smelter Reference List'!$H$4,$S788-4,0))</f>
        <v/>
      </c>
      <c r="J788" s="294" t="str">
        <f ca="1">IF(ISERROR($S788),"",OFFSET('Smelter Reference List'!$I$4,$S788-4,0))</f>
        <v/>
      </c>
      <c r="K788" s="295"/>
      <c r="L788" s="295"/>
      <c r="M788" s="295"/>
      <c r="N788" s="295"/>
      <c r="O788" s="295"/>
      <c r="P788" s="295"/>
      <c r="Q788" s="296"/>
      <c r="R788" s="227"/>
      <c r="S788" s="228" t="e">
        <f>IF(C788="",NA(),MATCH($B788&amp;$C788,'Smelter Reference List'!$J:$J,0))</f>
        <v>#N/A</v>
      </c>
      <c r="T788" s="229"/>
      <c r="U788" s="229">
        <f t="shared" ca="1" si="26"/>
        <v>0</v>
      </c>
      <c r="V788" s="229"/>
      <c r="W788" s="229"/>
      <c r="Y788" s="223" t="str">
        <f t="shared" si="27"/>
        <v/>
      </c>
    </row>
    <row r="789" spans="1:25" s="223" customFormat="1" ht="20.25">
      <c r="A789" s="291"/>
      <c r="B789" s="292" t="str">
        <f>IF(LEN(A789)=0,"",INDEX('Smelter Reference List'!$A:$A,MATCH($A789,'Smelter Reference List'!$E:$E,0)))</f>
        <v/>
      </c>
      <c r="C789" s="298" t="str">
        <f>IF(LEN(A789)=0,"",INDEX('Smelter Reference List'!$C:$C,MATCH($A789,'Smelter Reference List'!$E:$E,0)))</f>
        <v/>
      </c>
      <c r="D789" s="292" t="str">
        <f ca="1">IF(ISERROR($S789),"",OFFSET('Smelter Reference List'!$C$4,$S789-4,0)&amp;"")</f>
        <v/>
      </c>
      <c r="E789" s="292" t="str">
        <f ca="1">IF(ISERROR($S789),"",OFFSET('Smelter Reference List'!$D$4,$S789-4,0)&amp;"")</f>
        <v/>
      </c>
      <c r="F789" s="292" t="str">
        <f ca="1">IF(ISERROR($S789),"",OFFSET('Smelter Reference List'!$E$4,$S789-4,0))</f>
        <v/>
      </c>
      <c r="G789" s="292" t="str">
        <f ca="1">IF(C789=$U$4,"Enter smelter details", IF(ISERROR($S789),"",OFFSET('Smelter Reference List'!$F$4,$S789-4,0)))</f>
        <v/>
      </c>
      <c r="H789" s="293" t="str">
        <f ca="1">IF(ISERROR($S789),"",OFFSET('Smelter Reference List'!$G$4,$S789-4,0))</f>
        <v/>
      </c>
      <c r="I789" s="294" t="str">
        <f ca="1">IF(ISERROR($S789),"",OFFSET('Smelter Reference List'!$H$4,$S789-4,0))</f>
        <v/>
      </c>
      <c r="J789" s="294" t="str">
        <f ca="1">IF(ISERROR($S789),"",OFFSET('Smelter Reference List'!$I$4,$S789-4,0))</f>
        <v/>
      </c>
      <c r="K789" s="295"/>
      <c r="L789" s="295"/>
      <c r="M789" s="295"/>
      <c r="N789" s="295"/>
      <c r="O789" s="295"/>
      <c r="P789" s="295"/>
      <c r="Q789" s="296"/>
      <c r="R789" s="227"/>
      <c r="S789" s="228" t="e">
        <f>IF(C789="",NA(),MATCH($B789&amp;$C789,'Smelter Reference List'!$J:$J,0))</f>
        <v>#N/A</v>
      </c>
      <c r="T789" s="229"/>
      <c r="U789" s="229">
        <f t="shared" ca="1" si="26"/>
        <v>0</v>
      </c>
      <c r="V789" s="229"/>
      <c r="W789" s="229"/>
      <c r="Y789" s="223" t="str">
        <f t="shared" si="27"/>
        <v/>
      </c>
    </row>
    <row r="790" spans="1:25" s="223" customFormat="1" ht="20.25">
      <c r="A790" s="291"/>
      <c r="B790" s="292" t="str">
        <f>IF(LEN(A790)=0,"",INDEX('Smelter Reference List'!$A:$A,MATCH($A790,'Smelter Reference List'!$E:$E,0)))</f>
        <v/>
      </c>
      <c r="C790" s="298" t="str">
        <f>IF(LEN(A790)=0,"",INDEX('Smelter Reference List'!$C:$C,MATCH($A790,'Smelter Reference List'!$E:$E,0)))</f>
        <v/>
      </c>
      <c r="D790" s="292" t="str">
        <f ca="1">IF(ISERROR($S790),"",OFFSET('Smelter Reference List'!$C$4,$S790-4,0)&amp;"")</f>
        <v/>
      </c>
      <c r="E790" s="292" t="str">
        <f ca="1">IF(ISERROR($S790),"",OFFSET('Smelter Reference List'!$D$4,$S790-4,0)&amp;"")</f>
        <v/>
      </c>
      <c r="F790" s="292" t="str">
        <f ca="1">IF(ISERROR($S790),"",OFFSET('Smelter Reference List'!$E$4,$S790-4,0))</f>
        <v/>
      </c>
      <c r="G790" s="292" t="str">
        <f ca="1">IF(C790=$U$4,"Enter smelter details", IF(ISERROR($S790),"",OFFSET('Smelter Reference List'!$F$4,$S790-4,0)))</f>
        <v/>
      </c>
      <c r="H790" s="293" t="str">
        <f ca="1">IF(ISERROR($S790),"",OFFSET('Smelter Reference List'!$G$4,$S790-4,0))</f>
        <v/>
      </c>
      <c r="I790" s="294" t="str">
        <f ca="1">IF(ISERROR($S790),"",OFFSET('Smelter Reference List'!$H$4,$S790-4,0))</f>
        <v/>
      </c>
      <c r="J790" s="294" t="str">
        <f ca="1">IF(ISERROR($S790),"",OFFSET('Smelter Reference List'!$I$4,$S790-4,0))</f>
        <v/>
      </c>
      <c r="K790" s="295"/>
      <c r="L790" s="295"/>
      <c r="M790" s="295"/>
      <c r="N790" s="295"/>
      <c r="O790" s="295"/>
      <c r="P790" s="295"/>
      <c r="Q790" s="296"/>
      <c r="R790" s="227"/>
      <c r="S790" s="228" t="e">
        <f>IF(C790="",NA(),MATCH($B790&amp;$C790,'Smelter Reference List'!$J:$J,0))</f>
        <v>#N/A</v>
      </c>
      <c r="T790" s="229"/>
      <c r="U790" s="229">
        <f t="shared" ca="1" si="26"/>
        <v>0</v>
      </c>
      <c r="V790" s="229"/>
      <c r="W790" s="229"/>
      <c r="Y790" s="223" t="str">
        <f t="shared" si="27"/>
        <v/>
      </c>
    </row>
    <row r="791" spans="1:25" s="223" customFormat="1" ht="20.25">
      <c r="A791" s="291"/>
      <c r="B791" s="292" t="str">
        <f>IF(LEN(A791)=0,"",INDEX('Smelter Reference List'!$A:$A,MATCH($A791,'Smelter Reference List'!$E:$E,0)))</f>
        <v/>
      </c>
      <c r="C791" s="298" t="str">
        <f>IF(LEN(A791)=0,"",INDEX('Smelter Reference List'!$C:$C,MATCH($A791,'Smelter Reference List'!$E:$E,0)))</f>
        <v/>
      </c>
      <c r="D791" s="292" t="str">
        <f ca="1">IF(ISERROR($S791),"",OFFSET('Smelter Reference List'!$C$4,$S791-4,0)&amp;"")</f>
        <v/>
      </c>
      <c r="E791" s="292" t="str">
        <f ca="1">IF(ISERROR($S791),"",OFFSET('Smelter Reference List'!$D$4,$S791-4,0)&amp;"")</f>
        <v/>
      </c>
      <c r="F791" s="292" t="str">
        <f ca="1">IF(ISERROR($S791),"",OFFSET('Smelter Reference List'!$E$4,$S791-4,0))</f>
        <v/>
      </c>
      <c r="G791" s="292" t="str">
        <f ca="1">IF(C791=$U$4,"Enter smelter details", IF(ISERROR($S791),"",OFFSET('Smelter Reference List'!$F$4,$S791-4,0)))</f>
        <v/>
      </c>
      <c r="H791" s="293" t="str">
        <f ca="1">IF(ISERROR($S791),"",OFFSET('Smelter Reference List'!$G$4,$S791-4,0))</f>
        <v/>
      </c>
      <c r="I791" s="294" t="str">
        <f ca="1">IF(ISERROR($S791),"",OFFSET('Smelter Reference List'!$H$4,$S791-4,0))</f>
        <v/>
      </c>
      <c r="J791" s="294" t="str">
        <f ca="1">IF(ISERROR($S791),"",OFFSET('Smelter Reference List'!$I$4,$S791-4,0))</f>
        <v/>
      </c>
      <c r="K791" s="295"/>
      <c r="L791" s="295"/>
      <c r="M791" s="295"/>
      <c r="N791" s="295"/>
      <c r="O791" s="295"/>
      <c r="P791" s="295"/>
      <c r="Q791" s="296"/>
      <c r="R791" s="227"/>
      <c r="S791" s="228" t="e">
        <f>IF(C791="",NA(),MATCH($B791&amp;$C791,'Smelter Reference List'!$J:$J,0))</f>
        <v>#N/A</v>
      </c>
      <c r="T791" s="229"/>
      <c r="U791" s="229">
        <f t="shared" ca="1" si="26"/>
        <v>0</v>
      </c>
      <c r="V791" s="229"/>
      <c r="W791" s="229"/>
      <c r="Y791" s="223" t="str">
        <f t="shared" si="27"/>
        <v/>
      </c>
    </row>
    <row r="792" spans="1:25" s="223" customFormat="1" ht="20.25">
      <c r="A792" s="291"/>
      <c r="B792" s="292" t="str">
        <f>IF(LEN(A792)=0,"",INDEX('Smelter Reference List'!$A:$A,MATCH($A792,'Smelter Reference List'!$E:$E,0)))</f>
        <v/>
      </c>
      <c r="C792" s="298" t="str">
        <f>IF(LEN(A792)=0,"",INDEX('Smelter Reference List'!$C:$C,MATCH($A792,'Smelter Reference List'!$E:$E,0)))</f>
        <v/>
      </c>
      <c r="D792" s="292" t="str">
        <f ca="1">IF(ISERROR($S792),"",OFFSET('Smelter Reference List'!$C$4,$S792-4,0)&amp;"")</f>
        <v/>
      </c>
      <c r="E792" s="292" t="str">
        <f ca="1">IF(ISERROR($S792),"",OFFSET('Smelter Reference List'!$D$4,$S792-4,0)&amp;"")</f>
        <v/>
      </c>
      <c r="F792" s="292" t="str">
        <f ca="1">IF(ISERROR($S792),"",OFFSET('Smelter Reference List'!$E$4,$S792-4,0))</f>
        <v/>
      </c>
      <c r="G792" s="292" t="str">
        <f ca="1">IF(C792=$U$4,"Enter smelter details", IF(ISERROR($S792),"",OFFSET('Smelter Reference List'!$F$4,$S792-4,0)))</f>
        <v/>
      </c>
      <c r="H792" s="293" t="str">
        <f ca="1">IF(ISERROR($S792),"",OFFSET('Smelter Reference List'!$G$4,$S792-4,0))</f>
        <v/>
      </c>
      <c r="I792" s="294" t="str">
        <f ca="1">IF(ISERROR($S792),"",OFFSET('Smelter Reference List'!$H$4,$S792-4,0))</f>
        <v/>
      </c>
      <c r="J792" s="294" t="str">
        <f ca="1">IF(ISERROR($S792),"",OFFSET('Smelter Reference List'!$I$4,$S792-4,0))</f>
        <v/>
      </c>
      <c r="K792" s="295"/>
      <c r="L792" s="295"/>
      <c r="M792" s="295"/>
      <c r="N792" s="295"/>
      <c r="O792" s="295"/>
      <c r="P792" s="295"/>
      <c r="Q792" s="296"/>
      <c r="R792" s="227"/>
      <c r="S792" s="228" t="e">
        <f>IF(C792="",NA(),MATCH($B792&amp;$C792,'Smelter Reference List'!$J:$J,0))</f>
        <v>#N/A</v>
      </c>
      <c r="T792" s="229"/>
      <c r="U792" s="229">
        <f t="shared" ca="1" si="26"/>
        <v>0</v>
      </c>
      <c r="V792" s="229"/>
      <c r="W792" s="229"/>
      <c r="Y792" s="223" t="str">
        <f t="shared" si="27"/>
        <v/>
      </c>
    </row>
    <row r="793" spans="1:25" s="223" customFormat="1" ht="20.25">
      <c r="A793" s="291"/>
      <c r="B793" s="292" t="str">
        <f>IF(LEN(A793)=0,"",INDEX('Smelter Reference List'!$A:$A,MATCH($A793,'Smelter Reference List'!$E:$E,0)))</f>
        <v/>
      </c>
      <c r="C793" s="298" t="str">
        <f>IF(LEN(A793)=0,"",INDEX('Smelter Reference List'!$C:$C,MATCH($A793,'Smelter Reference List'!$E:$E,0)))</f>
        <v/>
      </c>
      <c r="D793" s="292" t="str">
        <f ca="1">IF(ISERROR($S793),"",OFFSET('Smelter Reference List'!$C$4,$S793-4,0)&amp;"")</f>
        <v/>
      </c>
      <c r="E793" s="292" t="str">
        <f ca="1">IF(ISERROR($S793),"",OFFSET('Smelter Reference List'!$D$4,$S793-4,0)&amp;"")</f>
        <v/>
      </c>
      <c r="F793" s="292" t="str">
        <f ca="1">IF(ISERROR($S793),"",OFFSET('Smelter Reference List'!$E$4,$S793-4,0))</f>
        <v/>
      </c>
      <c r="G793" s="292" t="str">
        <f ca="1">IF(C793=$U$4,"Enter smelter details", IF(ISERROR($S793),"",OFFSET('Smelter Reference List'!$F$4,$S793-4,0)))</f>
        <v/>
      </c>
      <c r="H793" s="293" t="str">
        <f ca="1">IF(ISERROR($S793),"",OFFSET('Smelter Reference List'!$G$4,$S793-4,0))</f>
        <v/>
      </c>
      <c r="I793" s="294" t="str">
        <f ca="1">IF(ISERROR($S793),"",OFFSET('Smelter Reference List'!$H$4,$S793-4,0))</f>
        <v/>
      </c>
      <c r="J793" s="294" t="str">
        <f ca="1">IF(ISERROR($S793),"",OFFSET('Smelter Reference List'!$I$4,$S793-4,0))</f>
        <v/>
      </c>
      <c r="K793" s="295"/>
      <c r="L793" s="295"/>
      <c r="M793" s="295"/>
      <c r="N793" s="295"/>
      <c r="O793" s="295"/>
      <c r="P793" s="295"/>
      <c r="Q793" s="296"/>
      <c r="R793" s="227"/>
      <c r="S793" s="228" t="e">
        <f>IF(C793="",NA(),MATCH($B793&amp;$C793,'Smelter Reference List'!$J:$J,0))</f>
        <v>#N/A</v>
      </c>
      <c r="T793" s="229"/>
      <c r="U793" s="229">
        <f t="shared" ca="1" si="26"/>
        <v>0</v>
      </c>
      <c r="V793" s="229"/>
      <c r="W793" s="229"/>
      <c r="Y793" s="223" t="str">
        <f t="shared" si="27"/>
        <v/>
      </c>
    </row>
    <row r="794" spans="1:25" s="223" customFormat="1" ht="20.25">
      <c r="A794" s="291"/>
      <c r="B794" s="292" t="str">
        <f>IF(LEN(A794)=0,"",INDEX('Smelter Reference List'!$A:$A,MATCH($A794,'Smelter Reference List'!$E:$E,0)))</f>
        <v/>
      </c>
      <c r="C794" s="298" t="str">
        <f>IF(LEN(A794)=0,"",INDEX('Smelter Reference List'!$C:$C,MATCH($A794,'Smelter Reference List'!$E:$E,0)))</f>
        <v/>
      </c>
      <c r="D794" s="292" t="str">
        <f ca="1">IF(ISERROR($S794),"",OFFSET('Smelter Reference List'!$C$4,$S794-4,0)&amp;"")</f>
        <v/>
      </c>
      <c r="E794" s="292" t="str">
        <f ca="1">IF(ISERROR($S794),"",OFFSET('Smelter Reference List'!$D$4,$S794-4,0)&amp;"")</f>
        <v/>
      </c>
      <c r="F794" s="292" t="str">
        <f ca="1">IF(ISERROR($S794),"",OFFSET('Smelter Reference List'!$E$4,$S794-4,0))</f>
        <v/>
      </c>
      <c r="G794" s="292" t="str">
        <f ca="1">IF(C794=$U$4,"Enter smelter details", IF(ISERROR($S794),"",OFFSET('Smelter Reference List'!$F$4,$S794-4,0)))</f>
        <v/>
      </c>
      <c r="H794" s="293" t="str">
        <f ca="1">IF(ISERROR($S794),"",OFFSET('Smelter Reference List'!$G$4,$S794-4,0))</f>
        <v/>
      </c>
      <c r="I794" s="294" t="str">
        <f ca="1">IF(ISERROR($S794),"",OFFSET('Smelter Reference List'!$H$4,$S794-4,0))</f>
        <v/>
      </c>
      <c r="J794" s="294" t="str">
        <f ca="1">IF(ISERROR($S794),"",OFFSET('Smelter Reference List'!$I$4,$S794-4,0))</f>
        <v/>
      </c>
      <c r="K794" s="295"/>
      <c r="L794" s="295"/>
      <c r="M794" s="295"/>
      <c r="N794" s="295"/>
      <c r="O794" s="295"/>
      <c r="P794" s="295"/>
      <c r="Q794" s="296"/>
      <c r="R794" s="227"/>
      <c r="S794" s="228" t="e">
        <f>IF(C794="",NA(),MATCH($B794&amp;$C794,'Smelter Reference List'!$J:$J,0))</f>
        <v>#N/A</v>
      </c>
      <c r="T794" s="229"/>
      <c r="U794" s="229">
        <f t="shared" ca="1" si="26"/>
        <v>0</v>
      </c>
      <c r="V794" s="229"/>
      <c r="W794" s="229"/>
      <c r="Y794" s="223" t="str">
        <f t="shared" si="27"/>
        <v/>
      </c>
    </row>
    <row r="795" spans="1:25" s="223" customFormat="1" ht="20.25">
      <c r="A795" s="291"/>
      <c r="B795" s="292" t="str">
        <f>IF(LEN(A795)=0,"",INDEX('Smelter Reference List'!$A:$A,MATCH($A795,'Smelter Reference List'!$E:$E,0)))</f>
        <v/>
      </c>
      <c r="C795" s="298" t="str">
        <f>IF(LEN(A795)=0,"",INDEX('Smelter Reference List'!$C:$C,MATCH($A795,'Smelter Reference List'!$E:$E,0)))</f>
        <v/>
      </c>
      <c r="D795" s="292" t="str">
        <f ca="1">IF(ISERROR($S795),"",OFFSET('Smelter Reference List'!$C$4,$S795-4,0)&amp;"")</f>
        <v/>
      </c>
      <c r="E795" s="292" t="str">
        <f ca="1">IF(ISERROR($S795),"",OFFSET('Smelter Reference List'!$D$4,$S795-4,0)&amp;"")</f>
        <v/>
      </c>
      <c r="F795" s="292" t="str">
        <f ca="1">IF(ISERROR($S795),"",OFFSET('Smelter Reference List'!$E$4,$S795-4,0))</f>
        <v/>
      </c>
      <c r="G795" s="292" t="str">
        <f ca="1">IF(C795=$U$4,"Enter smelter details", IF(ISERROR($S795),"",OFFSET('Smelter Reference List'!$F$4,$S795-4,0)))</f>
        <v/>
      </c>
      <c r="H795" s="293" t="str">
        <f ca="1">IF(ISERROR($S795),"",OFFSET('Smelter Reference List'!$G$4,$S795-4,0))</f>
        <v/>
      </c>
      <c r="I795" s="294" t="str">
        <f ca="1">IF(ISERROR($S795),"",OFFSET('Smelter Reference List'!$H$4,$S795-4,0))</f>
        <v/>
      </c>
      <c r="J795" s="294" t="str">
        <f ca="1">IF(ISERROR($S795),"",OFFSET('Smelter Reference List'!$I$4,$S795-4,0))</f>
        <v/>
      </c>
      <c r="K795" s="295"/>
      <c r="L795" s="295"/>
      <c r="M795" s="295"/>
      <c r="N795" s="295"/>
      <c r="O795" s="295"/>
      <c r="P795" s="295"/>
      <c r="Q795" s="296"/>
      <c r="R795" s="227"/>
      <c r="S795" s="228" t="e">
        <f>IF(C795="",NA(),MATCH($B795&amp;$C795,'Smelter Reference List'!$J:$J,0))</f>
        <v>#N/A</v>
      </c>
      <c r="T795" s="229"/>
      <c r="U795" s="229">
        <f t="shared" ca="1" si="26"/>
        <v>0</v>
      </c>
      <c r="V795" s="229"/>
      <c r="W795" s="229"/>
      <c r="Y795" s="223" t="str">
        <f t="shared" si="27"/>
        <v/>
      </c>
    </row>
    <row r="796" spans="1:25" s="223" customFormat="1" ht="20.25">
      <c r="A796" s="291"/>
      <c r="B796" s="292" t="str">
        <f>IF(LEN(A796)=0,"",INDEX('Smelter Reference List'!$A:$A,MATCH($A796,'Smelter Reference List'!$E:$E,0)))</f>
        <v/>
      </c>
      <c r="C796" s="298" t="str">
        <f>IF(LEN(A796)=0,"",INDEX('Smelter Reference List'!$C:$C,MATCH($A796,'Smelter Reference List'!$E:$E,0)))</f>
        <v/>
      </c>
      <c r="D796" s="292" t="str">
        <f ca="1">IF(ISERROR($S796),"",OFFSET('Smelter Reference List'!$C$4,$S796-4,0)&amp;"")</f>
        <v/>
      </c>
      <c r="E796" s="292" t="str">
        <f ca="1">IF(ISERROR($S796),"",OFFSET('Smelter Reference List'!$D$4,$S796-4,0)&amp;"")</f>
        <v/>
      </c>
      <c r="F796" s="292" t="str">
        <f ca="1">IF(ISERROR($S796),"",OFFSET('Smelter Reference List'!$E$4,$S796-4,0))</f>
        <v/>
      </c>
      <c r="G796" s="292" t="str">
        <f ca="1">IF(C796=$U$4,"Enter smelter details", IF(ISERROR($S796),"",OFFSET('Smelter Reference List'!$F$4,$S796-4,0)))</f>
        <v/>
      </c>
      <c r="H796" s="293" t="str">
        <f ca="1">IF(ISERROR($S796),"",OFFSET('Smelter Reference List'!$G$4,$S796-4,0))</f>
        <v/>
      </c>
      <c r="I796" s="294" t="str">
        <f ca="1">IF(ISERROR($S796),"",OFFSET('Smelter Reference List'!$H$4,$S796-4,0))</f>
        <v/>
      </c>
      <c r="J796" s="294" t="str">
        <f ca="1">IF(ISERROR($S796),"",OFFSET('Smelter Reference List'!$I$4,$S796-4,0))</f>
        <v/>
      </c>
      <c r="K796" s="295"/>
      <c r="L796" s="295"/>
      <c r="M796" s="295"/>
      <c r="N796" s="295"/>
      <c r="O796" s="295"/>
      <c r="P796" s="295"/>
      <c r="Q796" s="296"/>
      <c r="R796" s="227"/>
      <c r="S796" s="228" t="e">
        <f>IF(C796="",NA(),MATCH($B796&amp;$C796,'Smelter Reference List'!$J:$J,0))</f>
        <v>#N/A</v>
      </c>
      <c r="T796" s="229"/>
      <c r="U796" s="229">
        <f t="shared" ca="1" si="26"/>
        <v>0</v>
      </c>
      <c r="V796" s="229"/>
      <c r="W796" s="229"/>
      <c r="Y796" s="223" t="str">
        <f t="shared" si="27"/>
        <v/>
      </c>
    </row>
    <row r="797" spans="1:25" s="223" customFormat="1" ht="20.25">
      <c r="A797" s="291"/>
      <c r="B797" s="292" t="str">
        <f>IF(LEN(A797)=0,"",INDEX('Smelter Reference List'!$A:$A,MATCH($A797,'Smelter Reference List'!$E:$E,0)))</f>
        <v/>
      </c>
      <c r="C797" s="298" t="str">
        <f>IF(LEN(A797)=0,"",INDEX('Smelter Reference List'!$C:$C,MATCH($A797,'Smelter Reference List'!$E:$E,0)))</f>
        <v/>
      </c>
      <c r="D797" s="292" t="str">
        <f ca="1">IF(ISERROR($S797),"",OFFSET('Smelter Reference List'!$C$4,$S797-4,0)&amp;"")</f>
        <v/>
      </c>
      <c r="E797" s="292" t="str">
        <f ca="1">IF(ISERROR($S797),"",OFFSET('Smelter Reference List'!$D$4,$S797-4,0)&amp;"")</f>
        <v/>
      </c>
      <c r="F797" s="292" t="str">
        <f ca="1">IF(ISERROR($S797),"",OFFSET('Smelter Reference List'!$E$4,$S797-4,0))</f>
        <v/>
      </c>
      <c r="G797" s="292" t="str">
        <f ca="1">IF(C797=$U$4,"Enter smelter details", IF(ISERROR($S797),"",OFFSET('Smelter Reference List'!$F$4,$S797-4,0)))</f>
        <v/>
      </c>
      <c r="H797" s="293" t="str">
        <f ca="1">IF(ISERROR($S797),"",OFFSET('Smelter Reference List'!$G$4,$S797-4,0))</f>
        <v/>
      </c>
      <c r="I797" s="294" t="str">
        <f ca="1">IF(ISERROR($S797),"",OFFSET('Smelter Reference List'!$H$4,$S797-4,0))</f>
        <v/>
      </c>
      <c r="J797" s="294" t="str">
        <f ca="1">IF(ISERROR($S797),"",OFFSET('Smelter Reference List'!$I$4,$S797-4,0))</f>
        <v/>
      </c>
      <c r="K797" s="295"/>
      <c r="L797" s="295"/>
      <c r="M797" s="295"/>
      <c r="N797" s="295"/>
      <c r="O797" s="295"/>
      <c r="P797" s="295"/>
      <c r="Q797" s="296"/>
      <c r="R797" s="227"/>
      <c r="S797" s="228" t="e">
        <f>IF(C797="",NA(),MATCH($B797&amp;$C797,'Smelter Reference List'!$J:$J,0))</f>
        <v>#N/A</v>
      </c>
      <c r="T797" s="229"/>
      <c r="U797" s="229">
        <f t="shared" ca="1" si="26"/>
        <v>0</v>
      </c>
      <c r="V797" s="229"/>
      <c r="W797" s="229"/>
      <c r="Y797" s="223" t="str">
        <f t="shared" si="27"/>
        <v/>
      </c>
    </row>
    <row r="798" spans="1:25" s="223" customFormat="1" ht="20.25">
      <c r="A798" s="291"/>
      <c r="B798" s="292" t="str">
        <f>IF(LEN(A798)=0,"",INDEX('Smelter Reference List'!$A:$A,MATCH($A798,'Smelter Reference List'!$E:$E,0)))</f>
        <v/>
      </c>
      <c r="C798" s="298" t="str">
        <f>IF(LEN(A798)=0,"",INDEX('Smelter Reference List'!$C:$C,MATCH($A798,'Smelter Reference List'!$E:$E,0)))</f>
        <v/>
      </c>
      <c r="D798" s="292" t="str">
        <f ca="1">IF(ISERROR($S798),"",OFFSET('Smelter Reference List'!$C$4,$S798-4,0)&amp;"")</f>
        <v/>
      </c>
      <c r="E798" s="292" t="str">
        <f ca="1">IF(ISERROR($S798),"",OFFSET('Smelter Reference List'!$D$4,$S798-4,0)&amp;"")</f>
        <v/>
      </c>
      <c r="F798" s="292" t="str">
        <f ca="1">IF(ISERROR($S798),"",OFFSET('Smelter Reference List'!$E$4,$S798-4,0))</f>
        <v/>
      </c>
      <c r="G798" s="292" t="str">
        <f ca="1">IF(C798=$U$4,"Enter smelter details", IF(ISERROR($S798),"",OFFSET('Smelter Reference List'!$F$4,$S798-4,0)))</f>
        <v/>
      </c>
      <c r="H798" s="293" t="str">
        <f ca="1">IF(ISERROR($S798),"",OFFSET('Smelter Reference List'!$G$4,$S798-4,0))</f>
        <v/>
      </c>
      <c r="I798" s="294" t="str">
        <f ca="1">IF(ISERROR($S798),"",OFFSET('Smelter Reference List'!$H$4,$S798-4,0))</f>
        <v/>
      </c>
      <c r="J798" s="294" t="str">
        <f ca="1">IF(ISERROR($S798),"",OFFSET('Smelter Reference List'!$I$4,$S798-4,0))</f>
        <v/>
      </c>
      <c r="K798" s="295"/>
      <c r="L798" s="295"/>
      <c r="M798" s="295"/>
      <c r="N798" s="295"/>
      <c r="O798" s="295"/>
      <c r="P798" s="295"/>
      <c r="Q798" s="296"/>
      <c r="R798" s="227"/>
      <c r="S798" s="228" t="e">
        <f>IF(C798="",NA(),MATCH($B798&amp;$C798,'Smelter Reference List'!$J:$J,0))</f>
        <v>#N/A</v>
      </c>
      <c r="T798" s="229"/>
      <c r="U798" s="229">
        <f t="shared" ca="1" si="26"/>
        <v>0</v>
      </c>
      <c r="V798" s="229"/>
      <c r="W798" s="229"/>
      <c r="Y798" s="223" t="str">
        <f t="shared" si="27"/>
        <v/>
      </c>
    </row>
    <row r="799" spans="1:25" s="223" customFormat="1" ht="20.25">
      <c r="A799" s="291"/>
      <c r="B799" s="292" t="str">
        <f>IF(LEN(A799)=0,"",INDEX('Smelter Reference List'!$A:$A,MATCH($A799,'Smelter Reference List'!$E:$E,0)))</f>
        <v/>
      </c>
      <c r="C799" s="298" t="str">
        <f>IF(LEN(A799)=0,"",INDEX('Smelter Reference List'!$C:$C,MATCH($A799,'Smelter Reference List'!$E:$E,0)))</f>
        <v/>
      </c>
      <c r="D799" s="292" t="str">
        <f ca="1">IF(ISERROR($S799),"",OFFSET('Smelter Reference List'!$C$4,$S799-4,0)&amp;"")</f>
        <v/>
      </c>
      <c r="E799" s="292" t="str">
        <f ca="1">IF(ISERROR($S799),"",OFFSET('Smelter Reference List'!$D$4,$S799-4,0)&amp;"")</f>
        <v/>
      </c>
      <c r="F799" s="292" t="str">
        <f ca="1">IF(ISERROR($S799),"",OFFSET('Smelter Reference List'!$E$4,$S799-4,0))</f>
        <v/>
      </c>
      <c r="G799" s="292" t="str">
        <f ca="1">IF(C799=$U$4,"Enter smelter details", IF(ISERROR($S799),"",OFFSET('Smelter Reference List'!$F$4,$S799-4,0)))</f>
        <v/>
      </c>
      <c r="H799" s="293" t="str">
        <f ca="1">IF(ISERROR($S799),"",OFFSET('Smelter Reference List'!$G$4,$S799-4,0))</f>
        <v/>
      </c>
      <c r="I799" s="294" t="str">
        <f ca="1">IF(ISERROR($S799),"",OFFSET('Smelter Reference List'!$H$4,$S799-4,0))</f>
        <v/>
      </c>
      <c r="J799" s="294" t="str">
        <f ca="1">IF(ISERROR($S799),"",OFFSET('Smelter Reference List'!$I$4,$S799-4,0))</f>
        <v/>
      </c>
      <c r="K799" s="295"/>
      <c r="L799" s="295"/>
      <c r="M799" s="295"/>
      <c r="N799" s="295"/>
      <c r="O799" s="295"/>
      <c r="P799" s="295"/>
      <c r="Q799" s="296"/>
      <c r="R799" s="227"/>
      <c r="S799" s="228" t="e">
        <f>IF(C799="",NA(),MATCH($B799&amp;$C799,'Smelter Reference List'!$J:$J,0))</f>
        <v>#N/A</v>
      </c>
      <c r="T799" s="229"/>
      <c r="U799" s="229">
        <f t="shared" ca="1" si="26"/>
        <v>0</v>
      </c>
      <c r="V799" s="229"/>
      <c r="W799" s="229"/>
      <c r="Y799" s="223" t="str">
        <f t="shared" si="27"/>
        <v/>
      </c>
    </row>
    <row r="800" spans="1:25" s="223" customFormat="1" ht="20.25">
      <c r="A800" s="291"/>
      <c r="B800" s="292" t="str">
        <f>IF(LEN(A800)=0,"",INDEX('Smelter Reference List'!$A:$A,MATCH($A800,'Smelter Reference List'!$E:$E,0)))</f>
        <v/>
      </c>
      <c r="C800" s="298" t="str">
        <f>IF(LEN(A800)=0,"",INDEX('Smelter Reference List'!$C:$C,MATCH($A800,'Smelter Reference List'!$E:$E,0)))</f>
        <v/>
      </c>
      <c r="D800" s="292" t="str">
        <f ca="1">IF(ISERROR($S800),"",OFFSET('Smelter Reference List'!$C$4,$S800-4,0)&amp;"")</f>
        <v/>
      </c>
      <c r="E800" s="292" t="str">
        <f ca="1">IF(ISERROR($S800),"",OFFSET('Smelter Reference List'!$D$4,$S800-4,0)&amp;"")</f>
        <v/>
      </c>
      <c r="F800" s="292" t="str">
        <f ca="1">IF(ISERROR($S800),"",OFFSET('Smelter Reference List'!$E$4,$S800-4,0))</f>
        <v/>
      </c>
      <c r="G800" s="292" t="str">
        <f ca="1">IF(C800=$U$4,"Enter smelter details", IF(ISERROR($S800),"",OFFSET('Smelter Reference List'!$F$4,$S800-4,0)))</f>
        <v/>
      </c>
      <c r="H800" s="293" t="str">
        <f ca="1">IF(ISERROR($S800),"",OFFSET('Smelter Reference List'!$G$4,$S800-4,0))</f>
        <v/>
      </c>
      <c r="I800" s="294" t="str">
        <f ca="1">IF(ISERROR($S800),"",OFFSET('Smelter Reference List'!$H$4,$S800-4,0))</f>
        <v/>
      </c>
      <c r="J800" s="294" t="str">
        <f ca="1">IF(ISERROR($S800),"",OFFSET('Smelter Reference List'!$I$4,$S800-4,0))</f>
        <v/>
      </c>
      <c r="K800" s="295"/>
      <c r="L800" s="295"/>
      <c r="M800" s="295"/>
      <c r="N800" s="295"/>
      <c r="O800" s="295"/>
      <c r="P800" s="295"/>
      <c r="Q800" s="296"/>
      <c r="R800" s="227"/>
      <c r="S800" s="228" t="e">
        <f>IF(C800="",NA(),MATCH($B800&amp;$C800,'Smelter Reference List'!$J:$J,0))</f>
        <v>#N/A</v>
      </c>
      <c r="T800" s="229"/>
      <c r="U800" s="229">
        <f t="shared" ca="1" si="26"/>
        <v>0</v>
      </c>
      <c r="V800" s="229"/>
      <c r="W800" s="229"/>
      <c r="Y800" s="223" t="str">
        <f t="shared" si="27"/>
        <v/>
      </c>
    </row>
    <row r="801" spans="1:25" s="223" customFormat="1" ht="20.25">
      <c r="A801" s="291"/>
      <c r="B801" s="292" t="str">
        <f>IF(LEN(A801)=0,"",INDEX('Smelter Reference List'!$A:$A,MATCH($A801,'Smelter Reference List'!$E:$E,0)))</f>
        <v/>
      </c>
      <c r="C801" s="298" t="str">
        <f>IF(LEN(A801)=0,"",INDEX('Smelter Reference List'!$C:$C,MATCH($A801,'Smelter Reference List'!$E:$E,0)))</f>
        <v/>
      </c>
      <c r="D801" s="292" t="str">
        <f ca="1">IF(ISERROR($S801),"",OFFSET('Smelter Reference List'!$C$4,$S801-4,0)&amp;"")</f>
        <v/>
      </c>
      <c r="E801" s="292" t="str">
        <f ca="1">IF(ISERROR($S801),"",OFFSET('Smelter Reference List'!$D$4,$S801-4,0)&amp;"")</f>
        <v/>
      </c>
      <c r="F801" s="292" t="str">
        <f ca="1">IF(ISERROR($S801),"",OFFSET('Smelter Reference List'!$E$4,$S801-4,0))</f>
        <v/>
      </c>
      <c r="G801" s="292" t="str">
        <f ca="1">IF(C801=$U$4,"Enter smelter details", IF(ISERROR($S801),"",OFFSET('Smelter Reference List'!$F$4,$S801-4,0)))</f>
        <v/>
      </c>
      <c r="H801" s="293" t="str">
        <f ca="1">IF(ISERROR($S801),"",OFFSET('Smelter Reference List'!$G$4,$S801-4,0))</f>
        <v/>
      </c>
      <c r="I801" s="294" t="str">
        <f ca="1">IF(ISERROR($S801),"",OFFSET('Smelter Reference List'!$H$4,$S801-4,0))</f>
        <v/>
      </c>
      <c r="J801" s="294" t="str">
        <f ca="1">IF(ISERROR($S801),"",OFFSET('Smelter Reference List'!$I$4,$S801-4,0))</f>
        <v/>
      </c>
      <c r="K801" s="295"/>
      <c r="L801" s="295"/>
      <c r="M801" s="295"/>
      <c r="N801" s="295"/>
      <c r="O801" s="295"/>
      <c r="P801" s="295"/>
      <c r="Q801" s="296"/>
      <c r="R801" s="227"/>
      <c r="S801" s="228" t="e">
        <f>IF(C801="",NA(),MATCH($B801&amp;$C801,'Smelter Reference List'!$J:$J,0))</f>
        <v>#N/A</v>
      </c>
      <c r="T801" s="229"/>
      <c r="U801" s="229">
        <f t="shared" ca="1" si="26"/>
        <v>0</v>
      </c>
      <c r="V801" s="229"/>
      <c r="W801" s="229"/>
      <c r="Y801" s="223" t="str">
        <f t="shared" si="27"/>
        <v/>
      </c>
    </row>
    <row r="802" spans="1:25" s="223" customFormat="1" ht="20.25">
      <c r="A802" s="291"/>
      <c r="B802" s="292" t="str">
        <f>IF(LEN(A802)=0,"",INDEX('Smelter Reference List'!$A:$A,MATCH($A802,'Smelter Reference List'!$E:$E,0)))</f>
        <v/>
      </c>
      <c r="C802" s="298" t="str">
        <f>IF(LEN(A802)=0,"",INDEX('Smelter Reference List'!$C:$C,MATCH($A802,'Smelter Reference List'!$E:$E,0)))</f>
        <v/>
      </c>
      <c r="D802" s="292" t="str">
        <f ca="1">IF(ISERROR($S802),"",OFFSET('Smelter Reference List'!$C$4,$S802-4,0)&amp;"")</f>
        <v/>
      </c>
      <c r="E802" s="292" t="str">
        <f ca="1">IF(ISERROR($S802),"",OFFSET('Smelter Reference List'!$D$4,$S802-4,0)&amp;"")</f>
        <v/>
      </c>
      <c r="F802" s="292" t="str">
        <f ca="1">IF(ISERROR($S802),"",OFFSET('Smelter Reference List'!$E$4,$S802-4,0))</f>
        <v/>
      </c>
      <c r="G802" s="292" t="str">
        <f ca="1">IF(C802=$U$4,"Enter smelter details", IF(ISERROR($S802),"",OFFSET('Smelter Reference List'!$F$4,$S802-4,0)))</f>
        <v/>
      </c>
      <c r="H802" s="293" t="str">
        <f ca="1">IF(ISERROR($S802),"",OFFSET('Smelter Reference List'!$G$4,$S802-4,0))</f>
        <v/>
      </c>
      <c r="I802" s="294" t="str">
        <f ca="1">IF(ISERROR($S802),"",OFFSET('Smelter Reference List'!$H$4,$S802-4,0))</f>
        <v/>
      </c>
      <c r="J802" s="294" t="str">
        <f ca="1">IF(ISERROR($S802),"",OFFSET('Smelter Reference List'!$I$4,$S802-4,0))</f>
        <v/>
      </c>
      <c r="K802" s="295"/>
      <c r="L802" s="295"/>
      <c r="M802" s="295"/>
      <c r="N802" s="295"/>
      <c r="O802" s="295"/>
      <c r="P802" s="295"/>
      <c r="Q802" s="296"/>
      <c r="R802" s="227"/>
      <c r="S802" s="228" t="e">
        <f>IF(C802="",NA(),MATCH($B802&amp;$C802,'Smelter Reference List'!$J:$J,0))</f>
        <v>#N/A</v>
      </c>
      <c r="T802" s="229"/>
      <c r="U802" s="229">
        <f t="shared" ca="1" si="26"/>
        <v>0</v>
      </c>
      <c r="V802" s="229"/>
      <c r="W802" s="229"/>
      <c r="Y802" s="223" t="str">
        <f t="shared" si="27"/>
        <v/>
      </c>
    </row>
    <row r="803" spans="1:25" s="223" customFormat="1" ht="20.25">
      <c r="A803" s="291"/>
      <c r="B803" s="292" t="str">
        <f>IF(LEN(A803)=0,"",INDEX('Smelter Reference List'!$A:$A,MATCH($A803,'Smelter Reference List'!$E:$E,0)))</f>
        <v/>
      </c>
      <c r="C803" s="298" t="str">
        <f>IF(LEN(A803)=0,"",INDEX('Smelter Reference List'!$C:$C,MATCH($A803,'Smelter Reference List'!$E:$E,0)))</f>
        <v/>
      </c>
      <c r="D803" s="292" t="str">
        <f ca="1">IF(ISERROR($S803),"",OFFSET('Smelter Reference List'!$C$4,$S803-4,0)&amp;"")</f>
        <v/>
      </c>
      <c r="E803" s="292" t="str">
        <f ca="1">IF(ISERROR($S803),"",OFFSET('Smelter Reference List'!$D$4,$S803-4,0)&amp;"")</f>
        <v/>
      </c>
      <c r="F803" s="292" t="str">
        <f ca="1">IF(ISERROR($S803),"",OFFSET('Smelter Reference List'!$E$4,$S803-4,0))</f>
        <v/>
      </c>
      <c r="G803" s="292" t="str">
        <f ca="1">IF(C803=$U$4,"Enter smelter details", IF(ISERROR($S803),"",OFFSET('Smelter Reference List'!$F$4,$S803-4,0)))</f>
        <v/>
      </c>
      <c r="H803" s="293" t="str">
        <f ca="1">IF(ISERROR($S803),"",OFFSET('Smelter Reference List'!$G$4,$S803-4,0))</f>
        <v/>
      </c>
      <c r="I803" s="294" t="str">
        <f ca="1">IF(ISERROR($S803),"",OFFSET('Smelter Reference List'!$H$4,$S803-4,0))</f>
        <v/>
      </c>
      <c r="J803" s="294" t="str">
        <f ca="1">IF(ISERROR($S803),"",OFFSET('Smelter Reference List'!$I$4,$S803-4,0))</f>
        <v/>
      </c>
      <c r="K803" s="295"/>
      <c r="L803" s="295"/>
      <c r="M803" s="295"/>
      <c r="N803" s="295"/>
      <c r="O803" s="295"/>
      <c r="P803" s="295"/>
      <c r="Q803" s="296"/>
      <c r="R803" s="227"/>
      <c r="S803" s="228" t="e">
        <f>IF(C803="",NA(),MATCH($B803&amp;$C803,'Smelter Reference List'!$J:$J,0))</f>
        <v>#N/A</v>
      </c>
      <c r="T803" s="229"/>
      <c r="U803" s="229">
        <f t="shared" ca="1" si="26"/>
        <v>0</v>
      </c>
      <c r="V803" s="229"/>
      <c r="W803" s="229"/>
      <c r="Y803" s="223" t="str">
        <f t="shared" si="27"/>
        <v/>
      </c>
    </row>
    <row r="804" spans="1:25" s="223" customFormat="1" ht="20.25">
      <c r="A804" s="291"/>
      <c r="B804" s="292" t="str">
        <f>IF(LEN(A804)=0,"",INDEX('Smelter Reference List'!$A:$A,MATCH($A804,'Smelter Reference List'!$E:$E,0)))</f>
        <v/>
      </c>
      <c r="C804" s="298" t="str">
        <f>IF(LEN(A804)=0,"",INDEX('Smelter Reference List'!$C:$C,MATCH($A804,'Smelter Reference List'!$E:$E,0)))</f>
        <v/>
      </c>
      <c r="D804" s="292" t="str">
        <f ca="1">IF(ISERROR($S804),"",OFFSET('Smelter Reference List'!$C$4,$S804-4,0)&amp;"")</f>
        <v/>
      </c>
      <c r="E804" s="292" t="str">
        <f ca="1">IF(ISERROR($S804),"",OFFSET('Smelter Reference List'!$D$4,$S804-4,0)&amp;"")</f>
        <v/>
      </c>
      <c r="F804" s="292" t="str">
        <f ca="1">IF(ISERROR($S804),"",OFFSET('Smelter Reference List'!$E$4,$S804-4,0))</f>
        <v/>
      </c>
      <c r="G804" s="292" t="str">
        <f ca="1">IF(C804=$U$4,"Enter smelter details", IF(ISERROR($S804),"",OFFSET('Smelter Reference List'!$F$4,$S804-4,0)))</f>
        <v/>
      </c>
      <c r="H804" s="293" t="str">
        <f ca="1">IF(ISERROR($S804),"",OFFSET('Smelter Reference List'!$G$4,$S804-4,0))</f>
        <v/>
      </c>
      <c r="I804" s="294" t="str">
        <f ca="1">IF(ISERROR($S804),"",OFFSET('Smelter Reference List'!$H$4,$S804-4,0))</f>
        <v/>
      </c>
      <c r="J804" s="294" t="str">
        <f ca="1">IF(ISERROR($S804),"",OFFSET('Smelter Reference List'!$I$4,$S804-4,0))</f>
        <v/>
      </c>
      <c r="K804" s="295"/>
      <c r="L804" s="295"/>
      <c r="M804" s="295"/>
      <c r="N804" s="295"/>
      <c r="O804" s="295"/>
      <c r="P804" s="295"/>
      <c r="Q804" s="296"/>
      <c r="R804" s="227"/>
      <c r="S804" s="228" t="e">
        <f>IF(C804="",NA(),MATCH($B804&amp;$C804,'Smelter Reference List'!$J:$J,0))</f>
        <v>#N/A</v>
      </c>
      <c r="T804" s="229"/>
      <c r="U804" s="229">
        <f t="shared" ca="1" si="26"/>
        <v>0</v>
      </c>
      <c r="V804" s="229"/>
      <c r="W804" s="229"/>
      <c r="Y804" s="223" t="str">
        <f t="shared" si="27"/>
        <v/>
      </c>
    </row>
    <row r="805" spans="1:25" s="223" customFormat="1" ht="20.25">
      <c r="A805" s="291"/>
      <c r="B805" s="292" t="str">
        <f>IF(LEN(A805)=0,"",INDEX('Smelter Reference List'!$A:$A,MATCH($A805,'Smelter Reference List'!$E:$E,0)))</f>
        <v/>
      </c>
      <c r="C805" s="298" t="str">
        <f>IF(LEN(A805)=0,"",INDEX('Smelter Reference List'!$C:$C,MATCH($A805,'Smelter Reference List'!$E:$E,0)))</f>
        <v/>
      </c>
      <c r="D805" s="292" t="str">
        <f ca="1">IF(ISERROR($S805),"",OFFSET('Smelter Reference List'!$C$4,$S805-4,0)&amp;"")</f>
        <v/>
      </c>
      <c r="E805" s="292" t="str">
        <f ca="1">IF(ISERROR($S805),"",OFFSET('Smelter Reference List'!$D$4,$S805-4,0)&amp;"")</f>
        <v/>
      </c>
      <c r="F805" s="292" t="str">
        <f ca="1">IF(ISERROR($S805),"",OFFSET('Smelter Reference List'!$E$4,$S805-4,0))</f>
        <v/>
      </c>
      <c r="G805" s="292" t="str">
        <f ca="1">IF(C805=$U$4,"Enter smelter details", IF(ISERROR($S805),"",OFFSET('Smelter Reference List'!$F$4,$S805-4,0)))</f>
        <v/>
      </c>
      <c r="H805" s="293" t="str">
        <f ca="1">IF(ISERROR($S805),"",OFFSET('Smelter Reference List'!$G$4,$S805-4,0))</f>
        <v/>
      </c>
      <c r="I805" s="294" t="str">
        <f ca="1">IF(ISERROR($S805),"",OFFSET('Smelter Reference List'!$H$4,$S805-4,0))</f>
        <v/>
      </c>
      <c r="J805" s="294" t="str">
        <f ca="1">IF(ISERROR($S805),"",OFFSET('Smelter Reference List'!$I$4,$S805-4,0))</f>
        <v/>
      </c>
      <c r="K805" s="295"/>
      <c r="L805" s="295"/>
      <c r="M805" s="295"/>
      <c r="N805" s="295"/>
      <c r="O805" s="295"/>
      <c r="P805" s="295"/>
      <c r="Q805" s="296"/>
      <c r="R805" s="227"/>
      <c r="S805" s="228" t="e">
        <f>IF(C805="",NA(),MATCH($B805&amp;$C805,'Smelter Reference List'!$J:$J,0))</f>
        <v>#N/A</v>
      </c>
      <c r="T805" s="229"/>
      <c r="U805" s="229">
        <f t="shared" ca="1" si="26"/>
        <v>0</v>
      </c>
      <c r="V805" s="229"/>
      <c r="W805" s="229"/>
      <c r="Y805" s="223" t="str">
        <f t="shared" si="27"/>
        <v/>
      </c>
    </row>
    <row r="806" spans="1:25" s="223" customFormat="1" ht="20.25">
      <c r="A806" s="291"/>
      <c r="B806" s="292" t="str">
        <f>IF(LEN(A806)=0,"",INDEX('Smelter Reference List'!$A:$A,MATCH($A806,'Smelter Reference List'!$E:$E,0)))</f>
        <v/>
      </c>
      <c r="C806" s="298" t="str">
        <f>IF(LEN(A806)=0,"",INDEX('Smelter Reference List'!$C:$C,MATCH($A806,'Smelter Reference List'!$E:$E,0)))</f>
        <v/>
      </c>
      <c r="D806" s="292" t="str">
        <f ca="1">IF(ISERROR($S806),"",OFFSET('Smelter Reference List'!$C$4,$S806-4,0)&amp;"")</f>
        <v/>
      </c>
      <c r="E806" s="292" t="str">
        <f ca="1">IF(ISERROR($S806),"",OFFSET('Smelter Reference List'!$D$4,$S806-4,0)&amp;"")</f>
        <v/>
      </c>
      <c r="F806" s="292" t="str">
        <f ca="1">IF(ISERROR($S806),"",OFFSET('Smelter Reference List'!$E$4,$S806-4,0))</f>
        <v/>
      </c>
      <c r="G806" s="292" t="str">
        <f ca="1">IF(C806=$U$4,"Enter smelter details", IF(ISERROR($S806),"",OFFSET('Smelter Reference List'!$F$4,$S806-4,0)))</f>
        <v/>
      </c>
      <c r="H806" s="293" t="str">
        <f ca="1">IF(ISERROR($S806),"",OFFSET('Smelter Reference List'!$G$4,$S806-4,0))</f>
        <v/>
      </c>
      <c r="I806" s="294" t="str">
        <f ca="1">IF(ISERROR($S806),"",OFFSET('Smelter Reference List'!$H$4,$S806-4,0))</f>
        <v/>
      </c>
      <c r="J806" s="294" t="str">
        <f ca="1">IF(ISERROR($S806),"",OFFSET('Smelter Reference List'!$I$4,$S806-4,0))</f>
        <v/>
      </c>
      <c r="K806" s="295"/>
      <c r="L806" s="295"/>
      <c r="M806" s="295"/>
      <c r="N806" s="295"/>
      <c r="O806" s="295"/>
      <c r="P806" s="295"/>
      <c r="Q806" s="296"/>
      <c r="R806" s="227"/>
      <c r="S806" s="228" t="e">
        <f>IF(C806="",NA(),MATCH($B806&amp;$C806,'Smelter Reference List'!$J:$J,0))</f>
        <v>#N/A</v>
      </c>
      <c r="T806" s="229"/>
      <c r="U806" s="229">
        <f t="shared" ca="1" si="26"/>
        <v>0</v>
      </c>
      <c r="V806" s="229"/>
      <c r="W806" s="229"/>
      <c r="Y806" s="223" t="str">
        <f t="shared" si="27"/>
        <v/>
      </c>
    </row>
    <row r="807" spans="1:25" s="223" customFormat="1" ht="20.25">
      <c r="A807" s="291"/>
      <c r="B807" s="292" t="str">
        <f>IF(LEN(A807)=0,"",INDEX('Smelter Reference List'!$A:$A,MATCH($A807,'Smelter Reference List'!$E:$E,0)))</f>
        <v/>
      </c>
      <c r="C807" s="298" t="str">
        <f>IF(LEN(A807)=0,"",INDEX('Smelter Reference List'!$C:$C,MATCH($A807,'Smelter Reference List'!$E:$E,0)))</f>
        <v/>
      </c>
      <c r="D807" s="292" t="str">
        <f ca="1">IF(ISERROR($S807),"",OFFSET('Smelter Reference List'!$C$4,$S807-4,0)&amp;"")</f>
        <v/>
      </c>
      <c r="E807" s="292" t="str">
        <f ca="1">IF(ISERROR($S807),"",OFFSET('Smelter Reference List'!$D$4,$S807-4,0)&amp;"")</f>
        <v/>
      </c>
      <c r="F807" s="292" t="str">
        <f ca="1">IF(ISERROR($S807),"",OFFSET('Smelter Reference List'!$E$4,$S807-4,0))</f>
        <v/>
      </c>
      <c r="G807" s="292" t="str">
        <f ca="1">IF(C807=$U$4,"Enter smelter details", IF(ISERROR($S807),"",OFFSET('Smelter Reference List'!$F$4,$S807-4,0)))</f>
        <v/>
      </c>
      <c r="H807" s="293" t="str">
        <f ca="1">IF(ISERROR($S807),"",OFFSET('Smelter Reference List'!$G$4,$S807-4,0))</f>
        <v/>
      </c>
      <c r="I807" s="294" t="str">
        <f ca="1">IF(ISERROR($S807),"",OFFSET('Smelter Reference List'!$H$4,$S807-4,0))</f>
        <v/>
      </c>
      <c r="J807" s="294" t="str">
        <f ca="1">IF(ISERROR($S807),"",OFFSET('Smelter Reference List'!$I$4,$S807-4,0))</f>
        <v/>
      </c>
      <c r="K807" s="295"/>
      <c r="L807" s="295"/>
      <c r="M807" s="295"/>
      <c r="N807" s="295"/>
      <c r="O807" s="295"/>
      <c r="P807" s="295"/>
      <c r="Q807" s="296"/>
      <c r="R807" s="227"/>
      <c r="S807" s="228" t="e">
        <f>IF(C807="",NA(),MATCH($B807&amp;$C807,'Smelter Reference List'!$J:$J,0))</f>
        <v>#N/A</v>
      </c>
      <c r="T807" s="229"/>
      <c r="U807" s="229">
        <f t="shared" ca="1" si="26"/>
        <v>0</v>
      </c>
      <c r="V807" s="229"/>
      <c r="W807" s="229"/>
      <c r="Y807" s="223" t="str">
        <f t="shared" si="27"/>
        <v/>
      </c>
    </row>
    <row r="808" spans="1:25" s="223" customFormat="1" ht="20.25">
      <c r="A808" s="291"/>
      <c r="B808" s="292" t="str">
        <f>IF(LEN(A808)=0,"",INDEX('Smelter Reference List'!$A:$A,MATCH($A808,'Smelter Reference List'!$E:$E,0)))</f>
        <v/>
      </c>
      <c r="C808" s="298" t="str">
        <f>IF(LEN(A808)=0,"",INDEX('Smelter Reference List'!$C:$C,MATCH($A808,'Smelter Reference List'!$E:$E,0)))</f>
        <v/>
      </c>
      <c r="D808" s="292" t="str">
        <f ca="1">IF(ISERROR($S808),"",OFFSET('Smelter Reference List'!$C$4,$S808-4,0)&amp;"")</f>
        <v/>
      </c>
      <c r="E808" s="292" t="str">
        <f ca="1">IF(ISERROR($S808),"",OFFSET('Smelter Reference List'!$D$4,$S808-4,0)&amp;"")</f>
        <v/>
      </c>
      <c r="F808" s="292" t="str">
        <f ca="1">IF(ISERROR($S808),"",OFFSET('Smelter Reference List'!$E$4,$S808-4,0))</f>
        <v/>
      </c>
      <c r="G808" s="292" t="str">
        <f ca="1">IF(C808=$U$4,"Enter smelter details", IF(ISERROR($S808),"",OFFSET('Smelter Reference List'!$F$4,$S808-4,0)))</f>
        <v/>
      </c>
      <c r="H808" s="293" t="str">
        <f ca="1">IF(ISERROR($S808),"",OFFSET('Smelter Reference List'!$G$4,$S808-4,0))</f>
        <v/>
      </c>
      <c r="I808" s="294" t="str">
        <f ca="1">IF(ISERROR($S808),"",OFFSET('Smelter Reference List'!$H$4,$S808-4,0))</f>
        <v/>
      </c>
      <c r="J808" s="294" t="str">
        <f ca="1">IF(ISERROR($S808),"",OFFSET('Smelter Reference List'!$I$4,$S808-4,0))</f>
        <v/>
      </c>
      <c r="K808" s="295"/>
      <c r="L808" s="295"/>
      <c r="M808" s="295"/>
      <c r="N808" s="295"/>
      <c r="O808" s="295"/>
      <c r="P808" s="295"/>
      <c r="Q808" s="296"/>
      <c r="R808" s="227"/>
      <c r="S808" s="228" t="e">
        <f>IF(C808="",NA(),MATCH($B808&amp;$C808,'Smelter Reference List'!$J:$J,0))</f>
        <v>#N/A</v>
      </c>
      <c r="T808" s="229"/>
      <c r="U808" s="229">
        <f t="shared" ca="1" si="26"/>
        <v>0</v>
      </c>
      <c r="V808" s="229"/>
      <c r="W808" s="229"/>
      <c r="Y808" s="223" t="str">
        <f t="shared" si="27"/>
        <v/>
      </c>
    </row>
    <row r="809" spans="1:25" s="223" customFormat="1" ht="20.25">
      <c r="A809" s="291"/>
      <c r="B809" s="292" t="str">
        <f>IF(LEN(A809)=0,"",INDEX('Smelter Reference List'!$A:$A,MATCH($A809,'Smelter Reference List'!$E:$E,0)))</f>
        <v/>
      </c>
      <c r="C809" s="298" t="str">
        <f>IF(LEN(A809)=0,"",INDEX('Smelter Reference List'!$C:$C,MATCH($A809,'Smelter Reference List'!$E:$E,0)))</f>
        <v/>
      </c>
      <c r="D809" s="292" t="str">
        <f ca="1">IF(ISERROR($S809),"",OFFSET('Smelter Reference List'!$C$4,$S809-4,0)&amp;"")</f>
        <v/>
      </c>
      <c r="E809" s="292" t="str">
        <f ca="1">IF(ISERROR($S809),"",OFFSET('Smelter Reference List'!$D$4,$S809-4,0)&amp;"")</f>
        <v/>
      </c>
      <c r="F809" s="292" t="str">
        <f ca="1">IF(ISERROR($S809),"",OFFSET('Smelter Reference List'!$E$4,$S809-4,0))</f>
        <v/>
      </c>
      <c r="G809" s="292" t="str">
        <f ca="1">IF(C809=$U$4,"Enter smelter details", IF(ISERROR($S809),"",OFFSET('Smelter Reference List'!$F$4,$S809-4,0)))</f>
        <v/>
      </c>
      <c r="H809" s="293" t="str">
        <f ca="1">IF(ISERROR($S809),"",OFFSET('Smelter Reference List'!$G$4,$S809-4,0))</f>
        <v/>
      </c>
      <c r="I809" s="294" t="str">
        <f ca="1">IF(ISERROR($S809),"",OFFSET('Smelter Reference List'!$H$4,$S809-4,0))</f>
        <v/>
      </c>
      <c r="J809" s="294" t="str">
        <f ca="1">IF(ISERROR($S809),"",OFFSET('Smelter Reference List'!$I$4,$S809-4,0))</f>
        <v/>
      </c>
      <c r="K809" s="295"/>
      <c r="L809" s="295"/>
      <c r="M809" s="295"/>
      <c r="N809" s="295"/>
      <c r="O809" s="295"/>
      <c r="P809" s="295"/>
      <c r="Q809" s="296"/>
      <c r="R809" s="227"/>
      <c r="S809" s="228" t="e">
        <f>IF(C809="",NA(),MATCH($B809&amp;$C809,'Smelter Reference List'!$J:$J,0))</f>
        <v>#N/A</v>
      </c>
      <c r="T809" s="229"/>
      <c r="U809" s="229">
        <f t="shared" ca="1" si="26"/>
        <v>0</v>
      </c>
      <c r="V809" s="229"/>
      <c r="W809" s="229"/>
      <c r="Y809" s="223" t="str">
        <f t="shared" si="27"/>
        <v/>
      </c>
    </row>
    <row r="810" spans="1:25" s="223" customFormat="1" ht="20.25">
      <c r="A810" s="291"/>
      <c r="B810" s="292" t="str">
        <f>IF(LEN(A810)=0,"",INDEX('Smelter Reference List'!$A:$A,MATCH($A810,'Smelter Reference List'!$E:$E,0)))</f>
        <v/>
      </c>
      <c r="C810" s="298" t="str">
        <f>IF(LEN(A810)=0,"",INDEX('Smelter Reference List'!$C:$C,MATCH($A810,'Smelter Reference List'!$E:$E,0)))</f>
        <v/>
      </c>
      <c r="D810" s="292" t="str">
        <f ca="1">IF(ISERROR($S810),"",OFFSET('Smelter Reference List'!$C$4,$S810-4,0)&amp;"")</f>
        <v/>
      </c>
      <c r="E810" s="292" t="str">
        <f ca="1">IF(ISERROR($S810),"",OFFSET('Smelter Reference List'!$D$4,$S810-4,0)&amp;"")</f>
        <v/>
      </c>
      <c r="F810" s="292" t="str">
        <f ca="1">IF(ISERROR($S810),"",OFFSET('Smelter Reference List'!$E$4,$S810-4,0))</f>
        <v/>
      </c>
      <c r="G810" s="292" t="str">
        <f ca="1">IF(C810=$U$4,"Enter smelter details", IF(ISERROR($S810),"",OFFSET('Smelter Reference List'!$F$4,$S810-4,0)))</f>
        <v/>
      </c>
      <c r="H810" s="293" t="str">
        <f ca="1">IF(ISERROR($S810),"",OFFSET('Smelter Reference List'!$G$4,$S810-4,0))</f>
        <v/>
      </c>
      <c r="I810" s="294" t="str">
        <f ca="1">IF(ISERROR($S810),"",OFFSET('Smelter Reference List'!$H$4,$S810-4,0))</f>
        <v/>
      </c>
      <c r="J810" s="294" t="str">
        <f ca="1">IF(ISERROR($S810),"",OFFSET('Smelter Reference List'!$I$4,$S810-4,0))</f>
        <v/>
      </c>
      <c r="K810" s="295"/>
      <c r="L810" s="295"/>
      <c r="M810" s="295"/>
      <c r="N810" s="295"/>
      <c r="O810" s="295"/>
      <c r="P810" s="295"/>
      <c r="Q810" s="296"/>
      <c r="R810" s="227"/>
      <c r="S810" s="228" t="e">
        <f>IF(C810="",NA(),MATCH($B810&amp;$C810,'Smelter Reference List'!$J:$J,0))</f>
        <v>#N/A</v>
      </c>
      <c r="T810" s="229"/>
      <c r="U810" s="229">
        <f t="shared" ca="1" si="26"/>
        <v>0</v>
      </c>
      <c r="V810" s="229"/>
      <c r="W810" s="229"/>
      <c r="Y810" s="223" t="str">
        <f t="shared" si="27"/>
        <v/>
      </c>
    </row>
    <row r="811" spans="1:25" s="223" customFormat="1" ht="20.25">
      <c r="A811" s="291"/>
      <c r="B811" s="292" t="str">
        <f>IF(LEN(A811)=0,"",INDEX('Smelter Reference List'!$A:$A,MATCH($A811,'Smelter Reference List'!$E:$E,0)))</f>
        <v/>
      </c>
      <c r="C811" s="298" t="str">
        <f>IF(LEN(A811)=0,"",INDEX('Smelter Reference List'!$C:$C,MATCH($A811,'Smelter Reference List'!$E:$E,0)))</f>
        <v/>
      </c>
      <c r="D811" s="292" t="str">
        <f ca="1">IF(ISERROR($S811),"",OFFSET('Smelter Reference List'!$C$4,$S811-4,0)&amp;"")</f>
        <v/>
      </c>
      <c r="E811" s="292" t="str">
        <f ca="1">IF(ISERROR($S811),"",OFFSET('Smelter Reference List'!$D$4,$S811-4,0)&amp;"")</f>
        <v/>
      </c>
      <c r="F811" s="292" t="str">
        <f ca="1">IF(ISERROR($S811),"",OFFSET('Smelter Reference List'!$E$4,$S811-4,0))</f>
        <v/>
      </c>
      <c r="G811" s="292" t="str">
        <f ca="1">IF(C811=$U$4,"Enter smelter details", IF(ISERROR($S811),"",OFFSET('Smelter Reference List'!$F$4,$S811-4,0)))</f>
        <v/>
      </c>
      <c r="H811" s="293" t="str">
        <f ca="1">IF(ISERROR($S811),"",OFFSET('Smelter Reference List'!$G$4,$S811-4,0))</f>
        <v/>
      </c>
      <c r="I811" s="294" t="str">
        <f ca="1">IF(ISERROR($S811),"",OFFSET('Smelter Reference List'!$H$4,$S811-4,0))</f>
        <v/>
      </c>
      <c r="J811" s="294" t="str">
        <f ca="1">IF(ISERROR($S811),"",OFFSET('Smelter Reference List'!$I$4,$S811-4,0))</f>
        <v/>
      </c>
      <c r="K811" s="295"/>
      <c r="L811" s="295"/>
      <c r="M811" s="295"/>
      <c r="N811" s="295"/>
      <c r="O811" s="295"/>
      <c r="P811" s="295"/>
      <c r="Q811" s="296"/>
      <c r="R811" s="227"/>
      <c r="S811" s="228" t="e">
        <f>IF(C811="",NA(),MATCH($B811&amp;$C811,'Smelter Reference List'!$J:$J,0))</f>
        <v>#N/A</v>
      </c>
      <c r="T811" s="229"/>
      <c r="U811" s="229">
        <f t="shared" ca="1" si="26"/>
        <v>0</v>
      </c>
      <c r="V811" s="229"/>
      <c r="W811" s="229"/>
      <c r="Y811" s="223" t="str">
        <f t="shared" si="27"/>
        <v/>
      </c>
    </row>
    <row r="812" spans="1:25" s="223" customFormat="1" ht="20.25">
      <c r="A812" s="291"/>
      <c r="B812" s="292" t="str">
        <f>IF(LEN(A812)=0,"",INDEX('Smelter Reference List'!$A:$A,MATCH($A812,'Smelter Reference List'!$E:$E,0)))</f>
        <v/>
      </c>
      <c r="C812" s="298" t="str">
        <f>IF(LEN(A812)=0,"",INDEX('Smelter Reference List'!$C:$C,MATCH($A812,'Smelter Reference List'!$E:$E,0)))</f>
        <v/>
      </c>
      <c r="D812" s="292" t="str">
        <f ca="1">IF(ISERROR($S812),"",OFFSET('Smelter Reference List'!$C$4,$S812-4,0)&amp;"")</f>
        <v/>
      </c>
      <c r="E812" s="292" t="str">
        <f ca="1">IF(ISERROR($S812),"",OFFSET('Smelter Reference List'!$D$4,$S812-4,0)&amp;"")</f>
        <v/>
      </c>
      <c r="F812" s="292" t="str">
        <f ca="1">IF(ISERROR($S812),"",OFFSET('Smelter Reference List'!$E$4,$S812-4,0))</f>
        <v/>
      </c>
      <c r="G812" s="292" t="str">
        <f ca="1">IF(C812=$U$4,"Enter smelter details", IF(ISERROR($S812),"",OFFSET('Smelter Reference List'!$F$4,$S812-4,0)))</f>
        <v/>
      </c>
      <c r="H812" s="293" t="str">
        <f ca="1">IF(ISERROR($S812),"",OFFSET('Smelter Reference List'!$G$4,$S812-4,0))</f>
        <v/>
      </c>
      <c r="I812" s="294" t="str">
        <f ca="1">IF(ISERROR($S812),"",OFFSET('Smelter Reference List'!$H$4,$S812-4,0))</f>
        <v/>
      </c>
      <c r="J812" s="294" t="str">
        <f ca="1">IF(ISERROR($S812),"",OFFSET('Smelter Reference List'!$I$4,$S812-4,0))</f>
        <v/>
      </c>
      <c r="K812" s="295"/>
      <c r="L812" s="295"/>
      <c r="M812" s="295"/>
      <c r="N812" s="295"/>
      <c r="O812" s="295"/>
      <c r="P812" s="295"/>
      <c r="Q812" s="296"/>
      <c r="R812" s="227"/>
      <c r="S812" s="228" t="e">
        <f>IF(C812="",NA(),MATCH($B812&amp;$C812,'Smelter Reference List'!$J:$J,0))</f>
        <v>#N/A</v>
      </c>
      <c r="T812" s="229"/>
      <c r="U812" s="229">
        <f t="shared" ca="1" si="26"/>
        <v>0</v>
      </c>
      <c r="V812" s="229"/>
      <c r="W812" s="229"/>
      <c r="Y812" s="223" t="str">
        <f t="shared" si="27"/>
        <v/>
      </c>
    </row>
    <row r="813" spans="1:25" s="223" customFormat="1" ht="20.25">
      <c r="A813" s="291"/>
      <c r="B813" s="292" t="str">
        <f>IF(LEN(A813)=0,"",INDEX('Smelter Reference List'!$A:$A,MATCH($A813,'Smelter Reference List'!$E:$E,0)))</f>
        <v/>
      </c>
      <c r="C813" s="298" t="str">
        <f>IF(LEN(A813)=0,"",INDEX('Smelter Reference List'!$C:$C,MATCH($A813,'Smelter Reference List'!$E:$E,0)))</f>
        <v/>
      </c>
      <c r="D813" s="292" t="str">
        <f ca="1">IF(ISERROR($S813),"",OFFSET('Smelter Reference List'!$C$4,$S813-4,0)&amp;"")</f>
        <v/>
      </c>
      <c r="E813" s="292" t="str">
        <f ca="1">IF(ISERROR($S813),"",OFFSET('Smelter Reference List'!$D$4,$S813-4,0)&amp;"")</f>
        <v/>
      </c>
      <c r="F813" s="292" t="str">
        <f ca="1">IF(ISERROR($S813),"",OFFSET('Smelter Reference List'!$E$4,$S813-4,0))</f>
        <v/>
      </c>
      <c r="G813" s="292" t="str">
        <f ca="1">IF(C813=$U$4,"Enter smelter details", IF(ISERROR($S813),"",OFFSET('Smelter Reference List'!$F$4,$S813-4,0)))</f>
        <v/>
      </c>
      <c r="H813" s="293" t="str">
        <f ca="1">IF(ISERROR($S813),"",OFFSET('Smelter Reference List'!$G$4,$S813-4,0))</f>
        <v/>
      </c>
      <c r="I813" s="294" t="str">
        <f ca="1">IF(ISERROR($S813),"",OFFSET('Smelter Reference List'!$H$4,$S813-4,0))</f>
        <v/>
      </c>
      <c r="J813" s="294" t="str">
        <f ca="1">IF(ISERROR($S813),"",OFFSET('Smelter Reference List'!$I$4,$S813-4,0))</f>
        <v/>
      </c>
      <c r="K813" s="295"/>
      <c r="L813" s="295"/>
      <c r="M813" s="295"/>
      <c r="N813" s="295"/>
      <c r="O813" s="295"/>
      <c r="P813" s="295"/>
      <c r="Q813" s="296"/>
      <c r="R813" s="227"/>
      <c r="S813" s="228" t="e">
        <f>IF(C813="",NA(),MATCH($B813&amp;$C813,'Smelter Reference List'!$J:$J,0))</f>
        <v>#N/A</v>
      </c>
      <c r="T813" s="229"/>
      <c r="U813" s="229">
        <f t="shared" ca="1" si="26"/>
        <v>0</v>
      </c>
      <c r="V813" s="229"/>
      <c r="W813" s="229"/>
      <c r="Y813" s="223" t="str">
        <f t="shared" si="27"/>
        <v/>
      </c>
    </row>
    <row r="814" spans="1:25" s="223" customFormat="1" ht="20.25">
      <c r="A814" s="291"/>
      <c r="B814" s="292" t="str">
        <f>IF(LEN(A814)=0,"",INDEX('Smelter Reference List'!$A:$A,MATCH($A814,'Smelter Reference List'!$E:$E,0)))</f>
        <v/>
      </c>
      <c r="C814" s="298" t="str">
        <f>IF(LEN(A814)=0,"",INDEX('Smelter Reference List'!$C:$C,MATCH($A814,'Smelter Reference List'!$E:$E,0)))</f>
        <v/>
      </c>
      <c r="D814" s="292" t="str">
        <f ca="1">IF(ISERROR($S814),"",OFFSET('Smelter Reference List'!$C$4,$S814-4,0)&amp;"")</f>
        <v/>
      </c>
      <c r="E814" s="292" t="str">
        <f ca="1">IF(ISERROR($S814),"",OFFSET('Smelter Reference List'!$D$4,$S814-4,0)&amp;"")</f>
        <v/>
      </c>
      <c r="F814" s="292" t="str">
        <f ca="1">IF(ISERROR($S814),"",OFFSET('Smelter Reference List'!$E$4,$S814-4,0))</f>
        <v/>
      </c>
      <c r="G814" s="292" t="str">
        <f ca="1">IF(C814=$U$4,"Enter smelter details", IF(ISERROR($S814),"",OFFSET('Smelter Reference List'!$F$4,$S814-4,0)))</f>
        <v/>
      </c>
      <c r="H814" s="293" t="str">
        <f ca="1">IF(ISERROR($S814),"",OFFSET('Smelter Reference List'!$G$4,$S814-4,0))</f>
        <v/>
      </c>
      <c r="I814" s="294" t="str">
        <f ca="1">IF(ISERROR($S814),"",OFFSET('Smelter Reference List'!$H$4,$S814-4,0))</f>
        <v/>
      </c>
      <c r="J814" s="294" t="str">
        <f ca="1">IF(ISERROR($S814),"",OFFSET('Smelter Reference List'!$I$4,$S814-4,0))</f>
        <v/>
      </c>
      <c r="K814" s="295"/>
      <c r="L814" s="295"/>
      <c r="M814" s="295"/>
      <c r="N814" s="295"/>
      <c r="O814" s="295"/>
      <c r="P814" s="295"/>
      <c r="Q814" s="296"/>
      <c r="R814" s="227"/>
      <c r="S814" s="228" t="e">
        <f>IF(C814="",NA(),MATCH($B814&amp;$C814,'Smelter Reference List'!$J:$J,0))</f>
        <v>#N/A</v>
      </c>
      <c r="T814" s="229"/>
      <c r="U814" s="229">
        <f t="shared" ca="1" si="26"/>
        <v>0</v>
      </c>
      <c r="V814" s="229"/>
      <c r="W814" s="229"/>
      <c r="Y814" s="223" t="str">
        <f t="shared" si="27"/>
        <v/>
      </c>
    </row>
    <row r="815" spans="1:25" s="223" customFormat="1" ht="20.25">
      <c r="A815" s="291"/>
      <c r="B815" s="292" t="str">
        <f>IF(LEN(A815)=0,"",INDEX('Smelter Reference List'!$A:$A,MATCH($A815,'Smelter Reference List'!$E:$E,0)))</f>
        <v/>
      </c>
      <c r="C815" s="298" t="str">
        <f>IF(LEN(A815)=0,"",INDEX('Smelter Reference List'!$C:$C,MATCH($A815,'Smelter Reference List'!$E:$E,0)))</f>
        <v/>
      </c>
      <c r="D815" s="292" t="str">
        <f ca="1">IF(ISERROR($S815),"",OFFSET('Smelter Reference List'!$C$4,$S815-4,0)&amp;"")</f>
        <v/>
      </c>
      <c r="E815" s="292" t="str">
        <f ca="1">IF(ISERROR($S815),"",OFFSET('Smelter Reference List'!$D$4,$S815-4,0)&amp;"")</f>
        <v/>
      </c>
      <c r="F815" s="292" t="str">
        <f ca="1">IF(ISERROR($S815),"",OFFSET('Smelter Reference List'!$E$4,$S815-4,0))</f>
        <v/>
      </c>
      <c r="G815" s="292" t="str">
        <f ca="1">IF(C815=$U$4,"Enter smelter details", IF(ISERROR($S815),"",OFFSET('Smelter Reference List'!$F$4,$S815-4,0)))</f>
        <v/>
      </c>
      <c r="H815" s="293" t="str">
        <f ca="1">IF(ISERROR($S815),"",OFFSET('Smelter Reference List'!$G$4,$S815-4,0))</f>
        <v/>
      </c>
      <c r="I815" s="294" t="str">
        <f ca="1">IF(ISERROR($S815),"",OFFSET('Smelter Reference List'!$H$4,$S815-4,0))</f>
        <v/>
      </c>
      <c r="J815" s="294" t="str">
        <f ca="1">IF(ISERROR($S815),"",OFFSET('Smelter Reference List'!$I$4,$S815-4,0))</f>
        <v/>
      </c>
      <c r="K815" s="295"/>
      <c r="L815" s="295"/>
      <c r="M815" s="295"/>
      <c r="N815" s="295"/>
      <c r="O815" s="295"/>
      <c r="P815" s="295"/>
      <c r="Q815" s="296"/>
      <c r="R815" s="227"/>
      <c r="S815" s="228" t="e">
        <f>IF(C815="",NA(),MATCH($B815&amp;$C815,'Smelter Reference List'!$J:$J,0))</f>
        <v>#N/A</v>
      </c>
      <c r="T815" s="229"/>
      <c r="U815" s="229">
        <f t="shared" ca="1" si="26"/>
        <v>0</v>
      </c>
      <c r="V815" s="229"/>
      <c r="W815" s="229"/>
      <c r="Y815" s="223" t="str">
        <f t="shared" si="27"/>
        <v/>
      </c>
    </row>
    <row r="816" spans="1:25" s="223" customFormat="1" ht="20.25">
      <c r="A816" s="291"/>
      <c r="B816" s="292" t="str">
        <f>IF(LEN(A816)=0,"",INDEX('Smelter Reference List'!$A:$A,MATCH($A816,'Smelter Reference List'!$E:$E,0)))</f>
        <v/>
      </c>
      <c r="C816" s="298" t="str">
        <f>IF(LEN(A816)=0,"",INDEX('Smelter Reference List'!$C:$C,MATCH($A816,'Smelter Reference List'!$E:$E,0)))</f>
        <v/>
      </c>
      <c r="D816" s="292" t="str">
        <f ca="1">IF(ISERROR($S816),"",OFFSET('Smelter Reference List'!$C$4,$S816-4,0)&amp;"")</f>
        <v/>
      </c>
      <c r="E816" s="292" t="str">
        <f ca="1">IF(ISERROR($S816),"",OFFSET('Smelter Reference List'!$D$4,$S816-4,0)&amp;"")</f>
        <v/>
      </c>
      <c r="F816" s="292" t="str">
        <f ca="1">IF(ISERROR($S816),"",OFFSET('Smelter Reference List'!$E$4,$S816-4,0))</f>
        <v/>
      </c>
      <c r="G816" s="292" t="str">
        <f ca="1">IF(C816=$U$4,"Enter smelter details", IF(ISERROR($S816),"",OFFSET('Smelter Reference List'!$F$4,$S816-4,0)))</f>
        <v/>
      </c>
      <c r="H816" s="293" t="str">
        <f ca="1">IF(ISERROR($S816),"",OFFSET('Smelter Reference List'!$G$4,$S816-4,0))</f>
        <v/>
      </c>
      <c r="I816" s="294" t="str">
        <f ca="1">IF(ISERROR($S816),"",OFFSET('Smelter Reference List'!$H$4,$S816-4,0))</f>
        <v/>
      </c>
      <c r="J816" s="294" t="str">
        <f ca="1">IF(ISERROR($S816),"",OFFSET('Smelter Reference List'!$I$4,$S816-4,0))</f>
        <v/>
      </c>
      <c r="K816" s="295"/>
      <c r="L816" s="295"/>
      <c r="M816" s="295"/>
      <c r="N816" s="295"/>
      <c r="O816" s="295"/>
      <c r="P816" s="295"/>
      <c r="Q816" s="296"/>
      <c r="R816" s="227"/>
      <c r="S816" s="228" t="e">
        <f>IF(C816="",NA(),MATCH($B816&amp;$C816,'Smelter Reference List'!$J:$J,0))</f>
        <v>#N/A</v>
      </c>
      <c r="T816" s="229"/>
      <c r="U816" s="229">
        <f t="shared" ca="1" si="26"/>
        <v>0</v>
      </c>
      <c r="V816" s="229"/>
      <c r="W816" s="229"/>
      <c r="Y816" s="223" t="str">
        <f t="shared" si="27"/>
        <v/>
      </c>
    </row>
    <row r="817" spans="1:25" s="223" customFormat="1" ht="20.25">
      <c r="A817" s="291"/>
      <c r="B817" s="292" t="str">
        <f>IF(LEN(A817)=0,"",INDEX('Smelter Reference List'!$A:$A,MATCH($A817,'Smelter Reference List'!$E:$E,0)))</f>
        <v/>
      </c>
      <c r="C817" s="298" t="str">
        <f>IF(LEN(A817)=0,"",INDEX('Smelter Reference List'!$C:$C,MATCH($A817,'Smelter Reference List'!$E:$E,0)))</f>
        <v/>
      </c>
      <c r="D817" s="292" t="str">
        <f ca="1">IF(ISERROR($S817),"",OFFSET('Smelter Reference List'!$C$4,$S817-4,0)&amp;"")</f>
        <v/>
      </c>
      <c r="E817" s="292" t="str">
        <f ca="1">IF(ISERROR($S817),"",OFFSET('Smelter Reference List'!$D$4,$S817-4,0)&amp;"")</f>
        <v/>
      </c>
      <c r="F817" s="292" t="str">
        <f ca="1">IF(ISERROR($S817),"",OFFSET('Smelter Reference List'!$E$4,$S817-4,0))</f>
        <v/>
      </c>
      <c r="G817" s="292" t="str">
        <f ca="1">IF(C817=$U$4,"Enter smelter details", IF(ISERROR($S817),"",OFFSET('Smelter Reference List'!$F$4,$S817-4,0)))</f>
        <v/>
      </c>
      <c r="H817" s="293" t="str">
        <f ca="1">IF(ISERROR($S817),"",OFFSET('Smelter Reference List'!$G$4,$S817-4,0))</f>
        <v/>
      </c>
      <c r="I817" s="294" t="str">
        <f ca="1">IF(ISERROR($S817),"",OFFSET('Smelter Reference List'!$H$4,$S817-4,0))</f>
        <v/>
      </c>
      <c r="J817" s="294" t="str">
        <f ca="1">IF(ISERROR($S817),"",OFFSET('Smelter Reference List'!$I$4,$S817-4,0))</f>
        <v/>
      </c>
      <c r="K817" s="295"/>
      <c r="L817" s="295"/>
      <c r="M817" s="295"/>
      <c r="N817" s="295"/>
      <c r="O817" s="295"/>
      <c r="P817" s="295"/>
      <c r="Q817" s="296"/>
      <c r="R817" s="227"/>
      <c r="S817" s="228" t="e">
        <f>IF(C817="",NA(),MATCH($B817&amp;$C817,'Smelter Reference List'!$J:$J,0))</f>
        <v>#N/A</v>
      </c>
      <c r="T817" s="229"/>
      <c r="U817" s="229">
        <f t="shared" ca="1" si="26"/>
        <v>0</v>
      </c>
      <c r="V817" s="229"/>
      <c r="W817" s="229"/>
      <c r="Y817" s="223" t="str">
        <f t="shared" si="27"/>
        <v/>
      </c>
    </row>
    <row r="818" spans="1:25" s="223" customFormat="1" ht="20.25">
      <c r="A818" s="291"/>
      <c r="B818" s="292" t="str">
        <f>IF(LEN(A818)=0,"",INDEX('Smelter Reference List'!$A:$A,MATCH($A818,'Smelter Reference List'!$E:$E,0)))</f>
        <v/>
      </c>
      <c r="C818" s="298" t="str">
        <f>IF(LEN(A818)=0,"",INDEX('Smelter Reference List'!$C:$C,MATCH($A818,'Smelter Reference List'!$E:$E,0)))</f>
        <v/>
      </c>
      <c r="D818" s="292" t="str">
        <f ca="1">IF(ISERROR($S818),"",OFFSET('Smelter Reference List'!$C$4,$S818-4,0)&amp;"")</f>
        <v/>
      </c>
      <c r="E818" s="292" t="str">
        <f ca="1">IF(ISERROR($S818),"",OFFSET('Smelter Reference List'!$D$4,$S818-4,0)&amp;"")</f>
        <v/>
      </c>
      <c r="F818" s="292" t="str">
        <f ca="1">IF(ISERROR($S818),"",OFFSET('Smelter Reference List'!$E$4,$S818-4,0))</f>
        <v/>
      </c>
      <c r="G818" s="292" t="str">
        <f ca="1">IF(C818=$U$4,"Enter smelter details", IF(ISERROR($S818),"",OFFSET('Smelter Reference List'!$F$4,$S818-4,0)))</f>
        <v/>
      </c>
      <c r="H818" s="293" t="str">
        <f ca="1">IF(ISERROR($S818),"",OFFSET('Smelter Reference List'!$G$4,$S818-4,0))</f>
        <v/>
      </c>
      <c r="I818" s="294" t="str">
        <f ca="1">IF(ISERROR($S818),"",OFFSET('Smelter Reference List'!$H$4,$S818-4,0))</f>
        <v/>
      </c>
      <c r="J818" s="294" t="str">
        <f ca="1">IF(ISERROR($S818),"",OFFSET('Smelter Reference List'!$I$4,$S818-4,0))</f>
        <v/>
      </c>
      <c r="K818" s="295"/>
      <c r="L818" s="295"/>
      <c r="M818" s="295"/>
      <c r="N818" s="295"/>
      <c r="O818" s="295"/>
      <c r="P818" s="295"/>
      <c r="Q818" s="296"/>
      <c r="R818" s="227"/>
      <c r="S818" s="228" t="e">
        <f>IF(C818="",NA(),MATCH($B818&amp;$C818,'Smelter Reference List'!$J:$J,0))</f>
        <v>#N/A</v>
      </c>
      <c r="T818" s="229"/>
      <c r="U818" s="229">
        <f t="shared" ca="1" si="26"/>
        <v>0</v>
      </c>
      <c r="V818" s="229"/>
      <c r="W818" s="229"/>
      <c r="Y818" s="223" t="str">
        <f t="shared" si="27"/>
        <v/>
      </c>
    </row>
    <row r="819" spans="1:25" s="223" customFormat="1" ht="20.25">
      <c r="A819" s="291"/>
      <c r="B819" s="292" t="str">
        <f>IF(LEN(A819)=0,"",INDEX('Smelter Reference List'!$A:$A,MATCH($A819,'Smelter Reference List'!$E:$E,0)))</f>
        <v/>
      </c>
      <c r="C819" s="298" t="str">
        <f>IF(LEN(A819)=0,"",INDEX('Smelter Reference List'!$C:$C,MATCH($A819,'Smelter Reference List'!$E:$E,0)))</f>
        <v/>
      </c>
      <c r="D819" s="292" t="str">
        <f ca="1">IF(ISERROR($S819),"",OFFSET('Smelter Reference List'!$C$4,$S819-4,0)&amp;"")</f>
        <v/>
      </c>
      <c r="E819" s="292" t="str">
        <f ca="1">IF(ISERROR($S819),"",OFFSET('Smelter Reference List'!$D$4,$S819-4,0)&amp;"")</f>
        <v/>
      </c>
      <c r="F819" s="292" t="str">
        <f ca="1">IF(ISERROR($S819),"",OFFSET('Smelter Reference List'!$E$4,$S819-4,0))</f>
        <v/>
      </c>
      <c r="G819" s="292" t="str">
        <f ca="1">IF(C819=$U$4,"Enter smelter details", IF(ISERROR($S819),"",OFFSET('Smelter Reference List'!$F$4,$S819-4,0)))</f>
        <v/>
      </c>
      <c r="H819" s="293" t="str">
        <f ca="1">IF(ISERROR($S819),"",OFFSET('Smelter Reference List'!$G$4,$S819-4,0))</f>
        <v/>
      </c>
      <c r="I819" s="294" t="str">
        <f ca="1">IF(ISERROR($S819),"",OFFSET('Smelter Reference List'!$H$4,$S819-4,0))</f>
        <v/>
      </c>
      <c r="J819" s="294" t="str">
        <f ca="1">IF(ISERROR($S819),"",OFFSET('Smelter Reference List'!$I$4,$S819-4,0))</f>
        <v/>
      </c>
      <c r="K819" s="295"/>
      <c r="L819" s="295"/>
      <c r="M819" s="295"/>
      <c r="N819" s="295"/>
      <c r="O819" s="295"/>
      <c r="P819" s="295"/>
      <c r="Q819" s="296"/>
      <c r="R819" s="227"/>
      <c r="S819" s="228" t="e">
        <f>IF(C819="",NA(),MATCH($B819&amp;$C819,'Smelter Reference List'!$J:$J,0))</f>
        <v>#N/A</v>
      </c>
      <c r="T819" s="229"/>
      <c r="U819" s="229">
        <f t="shared" ca="1" si="26"/>
        <v>0</v>
      </c>
      <c r="V819" s="229"/>
      <c r="W819" s="229"/>
      <c r="Y819" s="223" t="str">
        <f t="shared" si="27"/>
        <v/>
      </c>
    </row>
    <row r="820" spans="1:25" s="223" customFormat="1" ht="20.25">
      <c r="A820" s="291"/>
      <c r="B820" s="292" t="str">
        <f>IF(LEN(A820)=0,"",INDEX('Smelter Reference List'!$A:$A,MATCH($A820,'Smelter Reference List'!$E:$E,0)))</f>
        <v/>
      </c>
      <c r="C820" s="298" t="str">
        <f>IF(LEN(A820)=0,"",INDEX('Smelter Reference List'!$C:$C,MATCH($A820,'Smelter Reference List'!$E:$E,0)))</f>
        <v/>
      </c>
      <c r="D820" s="292" t="str">
        <f ca="1">IF(ISERROR($S820),"",OFFSET('Smelter Reference List'!$C$4,$S820-4,0)&amp;"")</f>
        <v/>
      </c>
      <c r="E820" s="292" t="str">
        <f ca="1">IF(ISERROR($S820),"",OFFSET('Smelter Reference List'!$D$4,$S820-4,0)&amp;"")</f>
        <v/>
      </c>
      <c r="F820" s="292" t="str">
        <f ca="1">IF(ISERROR($S820),"",OFFSET('Smelter Reference List'!$E$4,$S820-4,0))</f>
        <v/>
      </c>
      <c r="G820" s="292" t="str">
        <f ca="1">IF(C820=$U$4,"Enter smelter details", IF(ISERROR($S820),"",OFFSET('Smelter Reference List'!$F$4,$S820-4,0)))</f>
        <v/>
      </c>
      <c r="H820" s="293" t="str">
        <f ca="1">IF(ISERROR($S820),"",OFFSET('Smelter Reference List'!$G$4,$S820-4,0))</f>
        <v/>
      </c>
      <c r="I820" s="294" t="str">
        <f ca="1">IF(ISERROR($S820),"",OFFSET('Smelter Reference List'!$H$4,$S820-4,0))</f>
        <v/>
      </c>
      <c r="J820" s="294" t="str">
        <f ca="1">IF(ISERROR($S820),"",OFFSET('Smelter Reference List'!$I$4,$S820-4,0))</f>
        <v/>
      </c>
      <c r="K820" s="295"/>
      <c r="L820" s="295"/>
      <c r="M820" s="295"/>
      <c r="N820" s="295"/>
      <c r="O820" s="295"/>
      <c r="P820" s="295"/>
      <c r="Q820" s="296"/>
      <c r="R820" s="227"/>
      <c r="S820" s="228" t="e">
        <f>IF(C820="",NA(),MATCH($B820&amp;$C820,'Smelter Reference List'!$J:$J,0))</f>
        <v>#N/A</v>
      </c>
      <c r="T820" s="229"/>
      <c r="U820" s="229">
        <f t="shared" ca="1" si="26"/>
        <v>0</v>
      </c>
      <c r="V820" s="229"/>
      <c r="W820" s="229"/>
      <c r="Y820" s="223" t="str">
        <f t="shared" si="27"/>
        <v/>
      </c>
    </row>
    <row r="821" spans="1:25" s="223" customFormat="1" ht="20.25">
      <c r="A821" s="291"/>
      <c r="B821" s="292" t="str">
        <f>IF(LEN(A821)=0,"",INDEX('Smelter Reference List'!$A:$A,MATCH($A821,'Smelter Reference List'!$E:$E,0)))</f>
        <v/>
      </c>
      <c r="C821" s="298" t="str">
        <f>IF(LEN(A821)=0,"",INDEX('Smelter Reference List'!$C:$C,MATCH($A821,'Smelter Reference List'!$E:$E,0)))</f>
        <v/>
      </c>
      <c r="D821" s="292" t="str">
        <f ca="1">IF(ISERROR($S821),"",OFFSET('Smelter Reference List'!$C$4,$S821-4,0)&amp;"")</f>
        <v/>
      </c>
      <c r="E821" s="292" t="str">
        <f ca="1">IF(ISERROR($S821),"",OFFSET('Smelter Reference List'!$D$4,$S821-4,0)&amp;"")</f>
        <v/>
      </c>
      <c r="F821" s="292" t="str">
        <f ca="1">IF(ISERROR($S821),"",OFFSET('Smelter Reference List'!$E$4,$S821-4,0))</f>
        <v/>
      </c>
      <c r="G821" s="292" t="str">
        <f ca="1">IF(C821=$U$4,"Enter smelter details", IF(ISERROR($S821),"",OFFSET('Smelter Reference List'!$F$4,$S821-4,0)))</f>
        <v/>
      </c>
      <c r="H821" s="293" t="str">
        <f ca="1">IF(ISERROR($S821),"",OFFSET('Smelter Reference List'!$G$4,$S821-4,0))</f>
        <v/>
      </c>
      <c r="I821" s="294" t="str">
        <f ca="1">IF(ISERROR($S821),"",OFFSET('Smelter Reference List'!$H$4,$S821-4,0))</f>
        <v/>
      </c>
      <c r="J821" s="294" t="str">
        <f ca="1">IF(ISERROR($S821),"",OFFSET('Smelter Reference List'!$I$4,$S821-4,0))</f>
        <v/>
      </c>
      <c r="K821" s="295"/>
      <c r="L821" s="295"/>
      <c r="M821" s="295"/>
      <c r="N821" s="295"/>
      <c r="O821" s="295"/>
      <c r="P821" s="295"/>
      <c r="Q821" s="296"/>
      <c r="R821" s="227"/>
      <c r="S821" s="228" t="e">
        <f>IF(C821="",NA(),MATCH($B821&amp;$C821,'Smelter Reference List'!$J:$J,0))</f>
        <v>#N/A</v>
      </c>
      <c r="T821" s="229"/>
      <c r="U821" s="229">
        <f t="shared" ca="1" si="26"/>
        <v>0</v>
      </c>
      <c r="V821" s="229"/>
      <c r="W821" s="229"/>
      <c r="Y821" s="223" t="str">
        <f t="shared" si="27"/>
        <v/>
      </c>
    </row>
    <row r="822" spans="1:25" s="223" customFormat="1" ht="20.25">
      <c r="A822" s="291"/>
      <c r="B822" s="292" t="str">
        <f>IF(LEN(A822)=0,"",INDEX('Smelter Reference List'!$A:$A,MATCH($A822,'Smelter Reference List'!$E:$E,0)))</f>
        <v/>
      </c>
      <c r="C822" s="298" t="str">
        <f>IF(LEN(A822)=0,"",INDEX('Smelter Reference List'!$C:$C,MATCH($A822,'Smelter Reference List'!$E:$E,0)))</f>
        <v/>
      </c>
      <c r="D822" s="292" t="str">
        <f ca="1">IF(ISERROR($S822),"",OFFSET('Smelter Reference List'!$C$4,$S822-4,0)&amp;"")</f>
        <v/>
      </c>
      <c r="E822" s="292" t="str">
        <f ca="1">IF(ISERROR($S822),"",OFFSET('Smelter Reference List'!$D$4,$S822-4,0)&amp;"")</f>
        <v/>
      </c>
      <c r="F822" s="292" t="str">
        <f ca="1">IF(ISERROR($S822),"",OFFSET('Smelter Reference List'!$E$4,$S822-4,0))</f>
        <v/>
      </c>
      <c r="G822" s="292" t="str">
        <f ca="1">IF(C822=$U$4,"Enter smelter details", IF(ISERROR($S822),"",OFFSET('Smelter Reference List'!$F$4,$S822-4,0)))</f>
        <v/>
      </c>
      <c r="H822" s="293" t="str">
        <f ca="1">IF(ISERROR($S822),"",OFFSET('Smelter Reference List'!$G$4,$S822-4,0))</f>
        <v/>
      </c>
      <c r="I822" s="294" t="str">
        <f ca="1">IF(ISERROR($S822),"",OFFSET('Smelter Reference List'!$H$4,$S822-4,0))</f>
        <v/>
      </c>
      <c r="J822" s="294" t="str">
        <f ca="1">IF(ISERROR($S822),"",OFFSET('Smelter Reference List'!$I$4,$S822-4,0))</f>
        <v/>
      </c>
      <c r="K822" s="295"/>
      <c r="L822" s="295"/>
      <c r="M822" s="295"/>
      <c r="N822" s="295"/>
      <c r="O822" s="295"/>
      <c r="P822" s="295"/>
      <c r="Q822" s="296"/>
      <c r="R822" s="227"/>
      <c r="S822" s="228" t="e">
        <f>IF(C822="",NA(),MATCH($B822&amp;$C822,'Smelter Reference List'!$J:$J,0))</f>
        <v>#N/A</v>
      </c>
      <c r="T822" s="229"/>
      <c r="U822" s="229">
        <f t="shared" ca="1" si="26"/>
        <v>0</v>
      </c>
      <c r="V822" s="229"/>
      <c r="W822" s="229"/>
      <c r="Y822" s="223" t="str">
        <f t="shared" si="27"/>
        <v/>
      </c>
    </row>
    <row r="823" spans="1:25" s="223" customFormat="1" ht="20.25">
      <c r="A823" s="291"/>
      <c r="B823" s="292" t="str">
        <f>IF(LEN(A823)=0,"",INDEX('Smelter Reference List'!$A:$A,MATCH($A823,'Smelter Reference List'!$E:$E,0)))</f>
        <v/>
      </c>
      <c r="C823" s="298" t="str">
        <f>IF(LEN(A823)=0,"",INDEX('Smelter Reference List'!$C:$C,MATCH($A823,'Smelter Reference List'!$E:$E,0)))</f>
        <v/>
      </c>
      <c r="D823" s="292" t="str">
        <f ca="1">IF(ISERROR($S823),"",OFFSET('Smelter Reference List'!$C$4,$S823-4,0)&amp;"")</f>
        <v/>
      </c>
      <c r="E823" s="292" t="str">
        <f ca="1">IF(ISERROR($S823),"",OFFSET('Smelter Reference List'!$D$4,$S823-4,0)&amp;"")</f>
        <v/>
      </c>
      <c r="F823" s="292" t="str">
        <f ca="1">IF(ISERROR($S823),"",OFFSET('Smelter Reference List'!$E$4,$S823-4,0))</f>
        <v/>
      </c>
      <c r="G823" s="292" t="str">
        <f ca="1">IF(C823=$U$4,"Enter smelter details", IF(ISERROR($S823),"",OFFSET('Smelter Reference List'!$F$4,$S823-4,0)))</f>
        <v/>
      </c>
      <c r="H823" s="293" t="str">
        <f ca="1">IF(ISERROR($S823),"",OFFSET('Smelter Reference List'!$G$4,$S823-4,0))</f>
        <v/>
      </c>
      <c r="I823" s="294" t="str">
        <f ca="1">IF(ISERROR($S823),"",OFFSET('Smelter Reference List'!$H$4,$S823-4,0))</f>
        <v/>
      </c>
      <c r="J823" s="294" t="str">
        <f ca="1">IF(ISERROR($S823),"",OFFSET('Smelter Reference List'!$I$4,$S823-4,0))</f>
        <v/>
      </c>
      <c r="K823" s="295"/>
      <c r="L823" s="295"/>
      <c r="M823" s="295"/>
      <c r="N823" s="295"/>
      <c r="O823" s="295"/>
      <c r="P823" s="295"/>
      <c r="Q823" s="296"/>
      <c r="R823" s="227"/>
      <c r="S823" s="228" t="e">
        <f>IF(C823="",NA(),MATCH($B823&amp;$C823,'Smelter Reference List'!$J:$J,0))</f>
        <v>#N/A</v>
      </c>
      <c r="T823" s="229"/>
      <c r="U823" s="229">
        <f t="shared" ca="1" si="26"/>
        <v>0</v>
      </c>
      <c r="V823" s="229"/>
      <c r="W823" s="229"/>
      <c r="Y823" s="223" t="str">
        <f t="shared" si="27"/>
        <v/>
      </c>
    </row>
    <row r="824" spans="1:25" s="223" customFormat="1" ht="20.25">
      <c r="A824" s="291"/>
      <c r="B824" s="292" t="str">
        <f>IF(LEN(A824)=0,"",INDEX('Smelter Reference List'!$A:$A,MATCH($A824,'Smelter Reference List'!$E:$E,0)))</f>
        <v/>
      </c>
      <c r="C824" s="298" t="str">
        <f>IF(LEN(A824)=0,"",INDEX('Smelter Reference List'!$C:$C,MATCH($A824,'Smelter Reference List'!$E:$E,0)))</f>
        <v/>
      </c>
      <c r="D824" s="292" t="str">
        <f ca="1">IF(ISERROR($S824),"",OFFSET('Smelter Reference List'!$C$4,$S824-4,0)&amp;"")</f>
        <v/>
      </c>
      <c r="E824" s="292" t="str">
        <f ca="1">IF(ISERROR($S824),"",OFFSET('Smelter Reference List'!$D$4,$S824-4,0)&amp;"")</f>
        <v/>
      </c>
      <c r="F824" s="292" t="str">
        <f ca="1">IF(ISERROR($S824),"",OFFSET('Smelter Reference List'!$E$4,$S824-4,0))</f>
        <v/>
      </c>
      <c r="G824" s="292" t="str">
        <f ca="1">IF(C824=$U$4,"Enter smelter details", IF(ISERROR($S824),"",OFFSET('Smelter Reference List'!$F$4,$S824-4,0)))</f>
        <v/>
      </c>
      <c r="H824" s="293" t="str">
        <f ca="1">IF(ISERROR($S824),"",OFFSET('Smelter Reference List'!$G$4,$S824-4,0))</f>
        <v/>
      </c>
      <c r="I824" s="294" t="str">
        <f ca="1">IF(ISERROR($S824),"",OFFSET('Smelter Reference List'!$H$4,$S824-4,0))</f>
        <v/>
      </c>
      <c r="J824" s="294" t="str">
        <f ca="1">IF(ISERROR($S824),"",OFFSET('Smelter Reference List'!$I$4,$S824-4,0))</f>
        <v/>
      </c>
      <c r="K824" s="295"/>
      <c r="L824" s="295"/>
      <c r="M824" s="295"/>
      <c r="N824" s="295"/>
      <c r="O824" s="295"/>
      <c r="P824" s="295"/>
      <c r="Q824" s="296"/>
      <c r="R824" s="227"/>
      <c r="S824" s="228" t="e">
        <f>IF(C824="",NA(),MATCH($B824&amp;$C824,'Smelter Reference List'!$J:$J,0))</f>
        <v>#N/A</v>
      </c>
      <c r="T824" s="229"/>
      <c r="U824" s="229">
        <f t="shared" ca="1" si="26"/>
        <v>0</v>
      </c>
      <c r="V824" s="229"/>
      <c r="W824" s="229"/>
      <c r="Y824" s="223" t="str">
        <f t="shared" si="27"/>
        <v/>
      </c>
    </row>
    <row r="825" spans="1:25" s="223" customFormat="1" ht="20.25">
      <c r="A825" s="291"/>
      <c r="B825" s="292" t="str">
        <f>IF(LEN(A825)=0,"",INDEX('Smelter Reference List'!$A:$A,MATCH($A825,'Smelter Reference List'!$E:$E,0)))</f>
        <v/>
      </c>
      <c r="C825" s="298" t="str">
        <f>IF(LEN(A825)=0,"",INDEX('Smelter Reference List'!$C:$C,MATCH($A825,'Smelter Reference List'!$E:$E,0)))</f>
        <v/>
      </c>
      <c r="D825" s="292" t="str">
        <f ca="1">IF(ISERROR($S825),"",OFFSET('Smelter Reference List'!$C$4,$S825-4,0)&amp;"")</f>
        <v/>
      </c>
      <c r="E825" s="292" t="str">
        <f ca="1">IF(ISERROR($S825),"",OFFSET('Smelter Reference List'!$D$4,$S825-4,0)&amp;"")</f>
        <v/>
      </c>
      <c r="F825" s="292" t="str">
        <f ca="1">IF(ISERROR($S825),"",OFFSET('Smelter Reference List'!$E$4,$S825-4,0))</f>
        <v/>
      </c>
      <c r="G825" s="292" t="str">
        <f ca="1">IF(C825=$U$4,"Enter smelter details", IF(ISERROR($S825),"",OFFSET('Smelter Reference List'!$F$4,$S825-4,0)))</f>
        <v/>
      </c>
      <c r="H825" s="293" t="str">
        <f ca="1">IF(ISERROR($S825),"",OFFSET('Smelter Reference List'!$G$4,$S825-4,0))</f>
        <v/>
      </c>
      <c r="I825" s="294" t="str">
        <f ca="1">IF(ISERROR($S825),"",OFFSET('Smelter Reference List'!$H$4,$S825-4,0))</f>
        <v/>
      </c>
      <c r="J825" s="294" t="str">
        <f ca="1">IF(ISERROR($S825),"",OFFSET('Smelter Reference List'!$I$4,$S825-4,0))</f>
        <v/>
      </c>
      <c r="K825" s="295"/>
      <c r="L825" s="295"/>
      <c r="M825" s="295"/>
      <c r="N825" s="295"/>
      <c r="O825" s="295"/>
      <c r="P825" s="295"/>
      <c r="Q825" s="296"/>
      <c r="R825" s="227"/>
      <c r="S825" s="228" t="e">
        <f>IF(C825="",NA(),MATCH($B825&amp;$C825,'Smelter Reference List'!$J:$J,0))</f>
        <v>#N/A</v>
      </c>
      <c r="T825" s="229"/>
      <c r="U825" s="229">
        <f t="shared" ca="1" si="26"/>
        <v>0</v>
      </c>
      <c r="V825" s="229"/>
      <c r="W825" s="229"/>
      <c r="Y825" s="223" t="str">
        <f t="shared" si="27"/>
        <v/>
      </c>
    </row>
    <row r="826" spans="1:25" s="223" customFormat="1" ht="20.25">
      <c r="A826" s="291"/>
      <c r="B826" s="292" t="str">
        <f>IF(LEN(A826)=0,"",INDEX('Smelter Reference List'!$A:$A,MATCH($A826,'Smelter Reference List'!$E:$E,0)))</f>
        <v/>
      </c>
      <c r="C826" s="298" t="str">
        <f>IF(LEN(A826)=0,"",INDEX('Smelter Reference List'!$C:$C,MATCH($A826,'Smelter Reference List'!$E:$E,0)))</f>
        <v/>
      </c>
      <c r="D826" s="292" t="str">
        <f ca="1">IF(ISERROR($S826),"",OFFSET('Smelter Reference List'!$C$4,$S826-4,0)&amp;"")</f>
        <v/>
      </c>
      <c r="E826" s="292" t="str">
        <f ca="1">IF(ISERROR($S826),"",OFFSET('Smelter Reference List'!$D$4,$S826-4,0)&amp;"")</f>
        <v/>
      </c>
      <c r="F826" s="292" t="str">
        <f ca="1">IF(ISERROR($S826),"",OFFSET('Smelter Reference List'!$E$4,$S826-4,0))</f>
        <v/>
      </c>
      <c r="G826" s="292" t="str">
        <f ca="1">IF(C826=$U$4,"Enter smelter details", IF(ISERROR($S826),"",OFFSET('Smelter Reference List'!$F$4,$S826-4,0)))</f>
        <v/>
      </c>
      <c r="H826" s="293" t="str">
        <f ca="1">IF(ISERROR($S826),"",OFFSET('Smelter Reference List'!$G$4,$S826-4,0))</f>
        <v/>
      </c>
      <c r="I826" s="294" t="str">
        <f ca="1">IF(ISERROR($S826),"",OFFSET('Smelter Reference List'!$H$4,$S826-4,0))</f>
        <v/>
      </c>
      <c r="J826" s="294" t="str">
        <f ca="1">IF(ISERROR($S826),"",OFFSET('Smelter Reference List'!$I$4,$S826-4,0))</f>
        <v/>
      </c>
      <c r="K826" s="295"/>
      <c r="L826" s="295"/>
      <c r="M826" s="295"/>
      <c r="N826" s="295"/>
      <c r="O826" s="295"/>
      <c r="P826" s="295"/>
      <c r="Q826" s="296"/>
      <c r="R826" s="227"/>
      <c r="S826" s="228" t="e">
        <f>IF(C826="",NA(),MATCH($B826&amp;$C826,'Smelter Reference List'!$J:$J,0))</f>
        <v>#N/A</v>
      </c>
      <c r="T826" s="229"/>
      <c r="U826" s="229">
        <f t="shared" ca="1" si="26"/>
        <v>0</v>
      </c>
      <c r="V826" s="229"/>
      <c r="W826" s="229"/>
      <c r="Y826" s="223" t="str">
        <f t="shared" si="27"/>
        <v/>
      </c>
    </row>
    <row r="827" spans="1:25" s="223" customFormat="1" ht="20.25">
      <c r="A827" s="291"/>
      <c r="B827" s="292" t="str">
        <f>IF(LEN(A827)=0,"",INDEX('Smelter Reference List'!$A:$A,MATCH($A827,'Smelter Reference List'!$E:$E,0)))</f>
        <v/>
      </c>
      <c r="C827" s="298" t="str">
        <f>IF(LEN(A827)=0,"",INDEX('Smelter Reference List'!$C:$C,MATCH($A827,'Smelter Reference List'!$E:$E,0)))</f>
        <v/>
      </c>
      <c r="D827" s="292" t="str">
        <f ca="1">IF(ISERROR($S827),"",OFFSET('Smelter Reference List'!$C$4,$S827-4,0)&amp;"")</f>
        <v/>
      </c>
      <c r="E827" s="292" t="str">
        <f ca="1">IF(ISERROR($S827),"",OFFSET('Smelter Reference List'!$D$4,$S827-4,0)&amp;"")</f>
        <v/>
      </c>
      <c r="F827" s="292" t="str">
        <f ca="1">IF(ISERROR($S827),"",OFFSET('Smelter Reference List'!$E$4,$S827-4,0))</f>
        <v/>
      </c>
      <c r="G827" s="292" t="str">
        <f ca="1">IF(C827=$U$4,"Enter smelter details", IF(ISERROR($S827),"",OFFSET('Smelter Reference List'!$F$4,$S827-4,0)))</f>
        <v/>
      </c>
      <c r="H827" s="293" t="str">
        <f ca="1">IF(ISERROR($S827),"",OFFSET('Smelter Reference List'!$G$4,$S827-4,0))</f>
        <v/>
      </c>
      <c r="I827" s="294" t="str">
        <f ca="1">IF(ISERROR($S827),"",OFFSET('Smelter Reference List'!$H$4,$S827-4,0))</f>
        <v/>
      </c>
      <c r="J827" s="294" t="str">
        <f ca="1">IF(ISERROR($S827),"",OFFSET('Smelter Reference List'!$I$4,$S827-4,0))</f>
        <v/>
      </c>
      <c r="K827" s="295"/>
      <c r="L827" s="295"/>
      <c r="M827" s="295"/>
      <c r="N827" s="295"/>
      <c r="O827" s="295"/>
      <c r="P827" s="295"/>
      <c r="Q827" s="296"/>
      <c r="R827" s="227"/>
      <c r="S827" s="228" t="e">
        <f>IF(C827="",NA(),MATCH($B827&amp;$C827,'Smelter Reference List'!$J:$J,0))</f>
        <v>#N/A</v>
      </c>
      <c r="T827" s="229"/>
      <c r="U827" s="229">
        <f t="shared" ca="1" si="26"/>
        <v>0</v>
      </c>
      <c r="V827" s="229"/>
      <c r="W827" s="229"/>
      <c r="Y827" s="223" t="str">
        <f t="shared" si="27"/>
        <v/>
      </c>
    </row>
    <row r="828" spans="1:25" s="223" customFormat="1" ht="20.25">
      <c r="A828" s="291"/>
      <c r="B828" s="292" t="str">
        <f>IF(LEN(A828)=0,"",INDEX('Smelter Reference List'!$A:$A,MATCH($A828,'Smelter Reference List'!$E:$E,0)))</f>
        <v/>
      </c>
      <c r="C828" s="298" t="str">
        <f>IF(LEN(A828)=0,"",INDEX('Smelter Reference List'!$C:$C,MATCH($A828,'Smelter Reference List'!$E:$E,0)))</f>
        <v/>
      </c>
      <c r="D828" s="292" t="str">
        <f ca="1">IF(ISERROR($S828),"",OFFSET('Smelter Reference List'!$C$4,$S828-4,0)&amp;"")</f>
        <v/>
      </c>
      <c r="E828" s="292" t="str">
        <f ca="1">IF(ISERROR($S828),"",OFFSET('Smelter Reference List'!$D$4,$S828-4,0)&amp;"")</f>
        <v/>
      </c>
      <c r="F828" s="292" t="str">
        <f ca="1">IF(ISERROR($S828),"",OFFSET('Smelter Reference List'!$E$4,$S828-4,0))</f>
        <v/>
      </c>
      <c r="G828" s="292" t="str">
        <f ca="1">IF(C828=$U$4,"Enter smelter details", IF(ISERROR($S828),"",OFFSET('Smelter Reference List'!$F$4,$S828-4,0)))</f>
        <v/>
      </c>
      <c r="H828" s="293" t="str">
        <f ca="1">IF(ISERROR($S828),"",OFFSET('Smelter Reference List'!$G$4,$S828-4,0))</f>
        <v/>
      </c>
      <c r="I828" s="294" t="str">
        <f ca="1">IF(ISERROR($S828),"",OFFSET('Smelter Reference List'!$H$4,$S828-4,0))</f>
        <v/>
      </c>
      <c r="J828" s="294" t="str">
        <f ca="1">IF(ISERROR($S828),"",OFFSET('Smelter Reference List'!$I$4,$S828-4,0))</f>
        <v/>
      </c>
      <c r="K828" s="295"/>
      <c r="L828" s="295"/>
      <c r="M828" s="295"/>
      <c r="N828" s="295"/>
      <c r="O828" s="295"/>
      <c r="P828" s="295"/>
      <c r="Q828" s="296"/>
      <c r="R828" s="227"/>
      <c r="S828" s="228" t="e">
        <f>IF(C828="",NA(),MATCH($B828&amp;$C828,'Smelter Reference List'!$J:$J,0))</f>
        <v>#N/A</v>
      </c>
      <c r="T828" s="229"/>
      <c r="U828" s="229">
        <f t="shared" ca="1" si="26"/>
        <v>0</v>
      </c>
      <c r="V828" s="229"/>
      <c r="W828" s="229"/>
      <c r="Y828" s="223" t="str">
        <f t="shared" si="27"/>
        <v/>
      </c>
    </row>
    <row r="829" spans="1:25" s="223" customFormat="1" ht="20.25">
      <c r="A829" s="291"/>
      <c r="B829" s="292" t="str">
        <f>IF(LEN(A829)=0,"",INDEX('Smelter Reference List'!$A:$A,MATCH($A829,'Smelter Reference List'!$E:$E,0)))</f>
        <v/>
      </c>
      <c r="C829" s="298" t="str">
        <f>IF(LEN(A829)=0,"",INDEX('Smelter Reference List'!$C:$C,MATCH($A829,'Smelter Reference List'!$E:$E,0)))</f>
        <v/>
      </c>
      <c r="D829" s="292" t="str">
        <f ca="1">IF(ISERROR($S829),"",OFFSET('Smelter Reference List'!$C$4,$S829-4,0)&amp;"")</f>
        <v/>
      </c>
      <c r="E829" s="292" t="str">
        <f ca="1">IF(ISERROR($S829),"",OFFSET('Smelter Reference List'!$D$4,$S829-4,0)&amp;"")</f>
        <v/>
      </c>
      <c r="F829" s="292" t="str">
        <f ca="1">IF(ISERROR($S829),"",OFFSET('Smelter Reference List'!$E$4,$S829-4,0))</f>
        <v/>
      </c>
      <c r="G829" s="292" t="str">
        <f ca="1">IF(C829=$U$4,"Enter smelter details", IF(ISERROR($S829),"",OFFSET('Smelter Reference List'!$F$4,$S829-4,0)))</f>
        <v/>
      </c>
      <c r="H829" s="293" t="str">
        <f ca="1">IF(ISERROR($S829),"",OFFSET('Smelter Reference List'!$G$4,$S829-4,0))</f>
        <v/>
      </c>
      <c r="I829" s="294" t="str">
        <f ca="1">IF(ISERROR($S829),"",OFFSET('Smelter Reference List'!$H$4,$S829-4,0))</f>
        <v/>
      </c>
      <c r="J829" s="294" t="str">
        <f ca="1">IF(ISERROR($S829),"",OFFSET('Smelter Reference List'!$I$4,$S829-4,0))</f>
        <v/>
      </c>
      <c r="K829" s="295"/>
      <c r="L829" s="295"/>
      <c r="M829" s="295"/>
      <c r="N829" s="295"/>
      <c r="O829" s="295"/>
      <c r="P829" s="295"/>
      <c r="Q829" s="296"/>
      <c r="R829" s="227"/>
      <c r="S829" s="228" t="e">
        <f>IF(C829="",NA(),MATCH($B829&amp;$C829,'Smelter Reference List'!$J:$J,0))</f>
        <v>#N/A</v>
      </c>
      <c r="T829" s="229"/>
      <c r="U829" s="229">
        <f t="shared" ca="1" si="26"/>
        <v>0</v>
      </c>
      <c r="V829" s="229"/>
      <c r="W829" s="229"/>
      <c r="Y829" s="223" t="str">
        <f t="shared" si="27"/>
        <v/>
      </c>
    </row>
    <row r="830" spans="1:25" s="223" customFormat="1" ht="20.25">
      <c r="A830" s="291"/>
      <c r="B830" s="292" t="str">
        <f>IF(LEN(A830)=0,"",INDEX('Smelter Reference List'!$A:$A,MATCH($A830,'Smelter Reference List'!$E:$E,0)))</f>
        <v/>
      </c>
      <c r="C830" s="298" t="str">
        <f>IF(LEN(A830)=0,"",INDEX('Smelter Reference List'!$C:$C,MATCH($A830,'Smelter Reference List'!$E:$E,0)))</f>
        <v/>
      </c>
      <c r="D830" s="292" t="str">
        <f ca="1">IF(ISERROR($S830),"",OFFSET('Smelter Reference List'!$C$4,$S830-4,0)&amp;"")</f>
        <v/>
      </c>
      <c r="E830" s="292" t="str">
        <f ca="1">IF(ISERROR($S830),"",OFFSET('Smelter Reference List'!$D$4,$S830-4,0)&amp;"")</f>
        <v/>
      </c>
      <c r="F830" s="292" t="str">
        <f ca="1">IF(ISERROR($S830),"",OFFSET('Smelter Reference List'!$E$4,$S830-4,0))</f>
        <v/>
      </c>
      <c r="G830" s="292" t="str">
        <f ca="1">IF(C830=$U$4,"Enter smelter details", IF(ISERROR($S830),"",OFFSET('Smelter Reference List'!$F$4,$S830-4,0)))</f>
        <v/>
      </c>
      <c r="H830" s="293" t="str">
        <f ca="1">IF(ISERROR($S830),"",OFFSET('Smelter Reference List'!$G$4,$S830-4,0))</f>
        <v/>
      </c>
      <c r="I830" s="294" t="str">
        <f ca="1">IF(ISERROR($S830),"",OFFSET('Smelter Reference List'!$H$4,$S830-4,0))</f>
        <v/>
      </c>
      <c r="J830" s="294" t="str">
        <f ca="1">IF(ISERROR($S830),"",OFFSET('Smelter Reference List'!$I$4,$S830-4,0))</f>
        <v/>
      </c>
      <c r="K830" s="295"/>
      <c r="L830" s="295"/>
      <c r="M830" s="295"/>
      <c r="N830" s="295"/>
      <c r="O830" s="295"/>
      <c r="P830" s="295"/>
      <c r="Q830" s="296"/>
      <c r="R830" s="227"/>
      <c r="S830" s="228" t="e">
        <f>IF(C830="",NA(),MATCH($B830&amp;$C830,'Smelter Reference List'!$J:$J,0))</f>
        <v>#N/A</v>
      </c>
      <c r="T830" s="229"/>
      <c r="U830" s="229">
        <f t="shared" ca="1" si="26"/>
        <v>0</v>
      </c>
      <c r="V830" s="229"/>
      <c r="W830" s="229"/>
      <c r="Y830" s="223" t="str">
        <f t="shared" si="27"/>
        <v/>
      </c>
    </row>
    <row r="831" spans="1:25" s="223" customFormat="1" ht="20.25">
      <c r="A831" s="291"/>
      <c r="B831" s="292" t="str">
        <f>IF(LEN(A831)=0,"",INDEX('Smelter Reference List'!$A:$A,MATCH($A831,'Smelter Reference List'!$E:$E,0)))</f>
        <v/>
      </c>
      <c r="C831" s="298" t="str">
        <f>IF(LEN(A831)=0,"",INDEX('Smelter Reference List'!$C:$C,MATCH($A831,'Smelter Reference List'!$E:$E,0)))</f>
        <v/>
      </c>
      <c r="D831" s="292" t="str">
        <f ca="1">IF(ISERROR($S831),"",OFFSET('Smelter Reference List'!$C$4,$S831-4,0)&amp;"")</f>
        <v/>
      </c>
      <c r="E831" s="292" t="str">
        <f ca="1">IF(ISERROR($S831),"",OFFSET('Smelter Reference List'!$D$4,$S831-4,0)&amp;"")</f>
        <v/>
      </c>
      <c r="F831" s="292" t="str">
        <f ca="1">IF(ISERROR($S831),"",OFFSET('Smelter Reference List'!$E$4,$S831-4,0))</f>
        <v/>
      </c>
      <c r="G831" s="292" t="str">
        <f ca="1">IF(C831=$U$4,"Enter smelter details", IF(ISERROR($S831),"",OFFSET('Smelter Reference List'!$F$4,$S831-4,0)))</f>
        <v/>
      </c>
      <c r="H831" s="293" t="str">
        <f ca="1">IF(ISERROR($S831),"",OFFSET('Smelter Reference List'!$G$4,$S831-4,0))</f>
        <v/>
      </c>
      <c r="I831" s="294" t="str">
        <f ca="1">IF(ISERROR($S831),"",OFFSET('Smelter Reference List'!$H$4,$S831-4,0))</f>
        <v/>
      </c>
      <c r="J831" s="294" t="str">
        <f ca="1">IF(ISERROR($S831),"",OFFSET('Smelter Reference List'!$I$4,$S831-4,0))</f>
        <v/>
      </c>
      <c r="K831" s="295"/>
      <c r="L831" s="295"/>
      <c r="M831" s="295"/>
      <c r="N831" s="295"/>
      <c r="O831" s="295"/>
      <c r="P831" s="295"/>
      <c r="Q831" s="296"/>
      <c r="R831" s="227"/>
      <c r="S831" s="228" t="e">
        <f>IF(C831="",NA(),MATCH($B831&amp;$C831,'Smelter Reference List'!$J:$J,0))</f>
        <v>#N/A</v>
      </c>
      <c r="T831" s="229"/>
      <c r="U831" s="229">
        <f t="shared" ca="1" si="26"/>
        <v>0</v>
      </c>
      <c r="V831" s="229"/>
      <c r="W831" s="229"/>
      <c r="Y831" s="223" t="str">
        <f t="shared" si="27"/>
        <v/>
      </c>
    </row>
    <row r="832" spans="1:25" s="223" customFormat="1" ht="20.25">
      <c r="A832" s="291"/>
      <c r="B832" s="292" t="str">
        <f>IF(LEN(A832)=0,"",INDEX('Smelter Reference List'!$A:$A,MATCH($A832,'Smelter Reference List'!$E:$E,0)))</f>
        <v/>
      </c>
      <c r="C832" s="298" t="str">
        <f>IF(LEN(A832)=0,"",INDEX('Smelter Reference List'!$C:$C,MATCH($A832,'Smelter Reference List'!$E:$E,0)))</f>
        <v/>
      </c>
      <c r="D832" s="292" t="str">
        <f ca="1">IF(ISERROR($S832),"",OFFSET('Smelter Reference List'!$C$4,$S832-4,0)&amp;"")</f>
        <v/>
      </c>
      <c r="E832" s="292" t="str">
        <f ca="1">IF(ISERROR($S832),"",OFFSET('Smelter Reference List'!$D$4,$S832-4,0)&amp;"")</f>
        <v/>
      </c>
      <c r="F832" s="292" t="str">
        <f ca="1">IF(ISERROR($S832),"",OFFSET('Smelter Reference List'!$E$4,$S832-4,0))</f>
        <v/>
      </c>
      <c r="G832" s="292" t="str">
        <f ca="1">IF(C832=$U$4,"Enter smelter details", IF(ISERROR($S832),"",OFFSET('Smelter Reference List'!$F$4,$S832-4,0)))</f>
        <v/>
      </c>
      <c r="H832" s="293" t="str">
        <f ca="1">IF(ISERROR($S832),"",OFFSET('Smelter Reference List'!$G$4,$S832-4,0))</f>
        <v/>
      </c>
      <c r="I832" s="294" t="str">
        <f ca="1">IF(ISERROR($S832),"",OFFSET('Smelter Reference List'!$H$4,$S832-4,0))</f>
        <v/>
      </c>
      <c r="J832" s="294" t="str">
        <f ca="1">IF(ISERROR($S832),"",OFFSET('Smelter Reference List'!$I$4,$S832-4,0))</f>
        <v/>
      </c>
      <c r="K832" s="295"/>
      <c r="L832" s="295"/>
      <c r="M832" s="295"/>
      <c r="N832" s="295"/>
      <c r="O832" s="295"/>
      <c r="P832" s="295"/>
      <c r="Q832" s="296"/>
      <c r="R832" s="227"/>
      <c r="S832" s="228" t="e">
        <f>IF(C832="",NA(),MATCH($B832&amp;$C832,'Smelter Reference List'!$J:$J,0))</f>
        <v>#N/A</v>
      </c>
      <c r="T832" s="229"/>
      <c r="U832" s="229">
        <f t="shared" ca="1" si="26"/>
        <v>0</v>
      </c>
      <c r="V832" s="229"/>
      <c r="W832" s="229"/>
      <c r="Y832" s="223" t="str">
        <f t="shared" si="27"/>
        <v/>
      </c>
    </row>
    <row r="833" spans="1:25" s="223" customFormat="1" ht="20.25">
      <c r="A833" s="291"/>
      <c r="B833" s="292" t="str">
        <f>IF(LEN(A833)=0,"",INDEX('Smelter Reference List'!$A:$A,MATCH($A833,'Smelter Reference List'!$E:$E,0)))</f>
        <v/>
      </c>
      <c r="C833" s="298" t="str">
        <f>IF(LEN(A833)=0,"",INDEX('Smelter Reference List'!$C:$C,MATCH($A833,'Smelter Reference List'!$E:$E,0)))</f>
        <v/>
      </c>
      <c r="D833" s="292" t="str">
        <f ca="1">IF(ISERROR($S833),"",OFFSET('Smelter Reference List'!$C$4,$S833-4,0)&amp;"")</f>
        <v/>
      </c>
      <c r="E833" s="292" t="str">
        <f ca="1">IF(ISERROR($S833),"",OFFSET('Smelter Reference List'!$D$4,$S833-4,0)&amp;"")</f>
        <v/>
      </c>
      <c r="F833" s="292" t="str">
        <f ca="1">IF(ISERROR($S833),"",OFFSET('Smelter Reference List'!$E$4,$S833-4,0))</f>
        <v/>
      </c>
      <c r="G833" s="292" t="str">
        <f ca="1">IF(C833=$U$4,"Enter smelter details", IF(ISERROR($S833),"",OFFSET('Smelter Reference List'!$F$4,$S833-4,0)))</f>
        <v/>
      </c>
      <c r="H833" s="293" t="str">
        <f ca="1">IF(ISERROR($S833),"",OFFSET('Smelter Reference List'!$G$4,$S833-4,0))</f>
        <v/>
      </c>
      <c r="I833" s="294" t="str">
        <f ca="1">IF(ISERROR($S833),"",OFFSET('Smelter Reference List'!$H$4,$S833-4,0))</f>
        <v/>
      </c>
      <c r="J833" s="294" t="str">
        <f ca="1">IF(ISERROR($S833),"",OFFSET('Smelter Reference List'!$I$4,$S833-4,0))</f>
        <v/>
      </c>
      <c r="K833" s="295"/>
      <c r="L833" s="295"/>
      <c r="M833" s="295"/>
      <c r="N833" s="295"/>
      <c r="O833" s="295"/>
      <c r="P833" s="295"/>
      <c r="Q833" s="296"/>
      <c r="R833" s="227"/>
      <c r="S833" s="228" t="e">
        <f>IF(C833="",NA(),MATCH($B833&amp;$C833,'Smelter Reference List'!$J:$J,0))</f>
        <v>#N/A</v>
      </c>
      <c r="T833" s="229"/>
      <c r="U833" s="229">
        <f t="shared" ca="1" si="26"/>
        <v>0</v>
      </c>
      <c r="V833" s="229"/>
      <c r="W833" s="229"/>
      <c r="Y833" s="223" t="str">
        <f t="shared" si="27"/>
        <v/>
      </c>
    </row>
    <row r="834" spans="1:25" s="223" customFormat="1" ht="20.25">
      <c r="A834" s="291"/>
      <c r="B834" s="292" t="str">
        <f>IF(LEN(A834)=0,"",INDEX('Smelter Reference List'!$A:$A,MATCH($A834,'Smelter Reference List'!$E:$E,0)))</f>
        <v/>
      </c>
      <c r="C834" s="298" t="str">
        <f>IF(LEN(A834)=0,"",INDEX('Smelter Reference List'!$C:$C,MATCH($A834,'Smelter Reference List'!$E:$E,0)))</f>
        <v/>
      </c>
      <c r="D834" s="292" t="str">
        <f ca="1">IF(ISERROR($S834),"",OFFSET('Smelter Reference List'!$C$4,$S834-4,0)&amp;"")</f>
        <v/>
      </c>
      <c r="E834" s="292" t="str">
        <f ca="1">IF(ISERROR($S834),"",OFFSET('Smelter Reference List'!$D$4,$S834-4,0)&amp;"")</f>
        <v/>
      </c>
      <c r="F834" s="292" t="str">
        <f ca="1">IF(ISERROR($S834),"",OFFSET('Smelter Reference List'!$E$4,$S834-4,0))</f>
        <v/>
      </c>
      <c r="G834" s="292" t="str">
        <f ca="1">IF(C834=$U$4,"Enter smelter details", IF(ISERROR($S834),"",OFFSET('Smelter Reference List'!$F$4,$S834-4,0)))</f>
        <v/>
      </c>
      <c r="H834" s="293" t="str">
        <f ca="1">IF(ISERROR($S834),"",OFFSET('Smelter Reference List'!$G$4,$S834-4,0))</f>
        <v/>
      </c>
      <c r="I834" s="294" t="str">
        <f ca="1">IF(ISERROR($S834),"",OFFSET('Smelter Reference List'!$H$4,$S834-4,0))</f>
        <v/>
      </c>
      <c r="J834" s="294" t="str">
        <f ca="1">IF(ISERROR($S834),"",OFFSET('Smelter Reference List'!$I$4,$S834-4,0))</f>
        <v/>
      </c>
      <c r="K834" s="295"/>
      <c r="L834" s="295"/>
      <c r="M834" s="295"/>
      <c r="N834" s="295"/>
      <c r="O834" s="295"/>
      <c r="P834" s="295"/>
      <c r="Q834" s="296"/>
      <c r="R834" s="227"/>
      <c r="S834" s="228" t="e">
        <f>IF(C834="",NA(),MATCH($B834&amp;$C834,'Smelter Reference List'!$J:$J,0))</f>
        <v>#N/A</v>
      </c>
      <c r="T834" s="229"/>
      <c r="U834" s="229">
        <f t="shared" ca="1" si="26"/>
        <v>0</v>
      </c>
      <c r="V834" s="229"/>
      <c r="W834" s="229"/>
      <c r="Y834" s="223" t="str">
        <f t="shared" si="27"/>
        <v/>
      </c>
    </row>
    <row r="835" spans="1:25" s="223" customFormat="1" ht="20.25">
      <c r="A835" s="291"/>
      <c r="B835" s="292" t="str">
        <f>IF(LEN(A835)=0,"",INDEX('Smelter Reference List'!$A:$A,MATCH($A835,'Smelter Reference List'!$E:$E,0)))</f>
        <v/>
      </c>
      <c r="C835" s="298" t="str">
        <f>IF(LEN(A835)=0,"",INDEX('Smelter Reference List'!$C:$C,MATCH($A835,'Smelter Reference List'!$E:$E,0)))</f>
        <v/>
      </c>
      <c r="D835" s="292" t="str">
        <f ca="1">IF(ISERROR($S835),"",OFFSET('Smelter Reference List'!$C$4,$S835-4,0)&amp;"")</f>
        <v/>
      </c>
      <c r="E835" s="292" t="str">
        <f ca="1">IF(ISERROR($S835),"",OFFSET('Smelter Reference List'!$D$4,$S835-4,0)&amp;"")</f>
        <v/>
      </c>
      <c r="F835" s="292" t="str">
        <f ca="1">IF(ISERROR($S835),"",OFFSET('Smelter Reference List'!$E$4,$S835-4,0))</f>
        <v/>
      </c>
      <c r="G835" s="292" t="str">
        <f ca="1">IF(C835=$U$4,"Enter smelter details", IF(ISERROR($S835),"",OFFSET('Smelter Reference List'!$F$4,$S835-4,0)))</f>
        <v/>
      </c>
      <c r="H835" s="293" t="str">
        <f ca="1">IF(ISERROR($S835),"",OFFSET('Smelter Reference List'!$G$4,$S835-4,0))</f>
        <v/>
      </c>
      <c r="I835" s="294" t="str">
        <f ca="1">IF(ISERROR($S835),"",OFFSET('Smelter Reference List'!$H$4,$S835-4,0))</f>
        <v/>
      </c>
      <c r="J835" s="294" t="str">
        <f ca="1">IF(ISERROR($S835),"",OFFSET('Smelter Reference List'!$I$4,$S835-4,0))</f>
        <v/>
      </c>
      <c r="K835" s="295"/>
      <c r="L835" s="295"/>
      <c r="M835" s="295"/>
      <c r="N835" s="295"/>
      <c r="O835" s="295"/>
      <c r="P835" s="295"/>
      <c r="Q835" s="296"/>
      <c r="R835" s="227"/>
      <c r="S835" s="228" t="e">
        <f>IF(C835="",NA(),MATCH($B835&amp;$C835,'Smelter Reference List'!$J:$J,0))</f>
        <v>#N/A</v>
      </c>
      <c r="T835" s="229"/>
      <c r="U835" s="229">
        <f t="shared" ca="1" si="26"/>
        <v>0</v>
      </c>
      <c r="V835" s="229"/>
      <c r="W835" s="229"/>
      <c r="Y835" s="223" t="str">
        <f t="shared" si="27"/>
        <v/>
      </c>
    </row>
    <row r="836" spans="1:25" s="223" customFormat="1" ht="20.25">
      <c r="A836" s="291"/>
      <c r="B836" s="292" t="str">
        <f>IF(LEN(A836)=0,"",INDEX('Smelter Reference List'!$A:$A,MATCH($A836,'Smelter Reference List'!$E:$E,0)))</f>
        <v/>
      </c>
      <c r="C836" s="298" t="str">
        <f>IF(LEN(A836)=0,"",INDEX('Smelter Reference List'!$C:$C,MATCH($A836,'Smelter Reference List'!$E:$E,0)))</f>
        <v/>
      </c>
      <c r="D836" s="292" t="str">
        <f ca="1">IF(ISERROR($S836),"",OFFSET('Smelter Reference List'!$C$4,$S836-4,0)&amp;"")</f>
        <v/>
      </c>
      <c r="E836" s="292" t="str">
        <f ca="1">IF(ISERROR($S836),"",OFFSET('Smelter Reference List'!$D$4,$S836-4,0)&amp;"")</f>
        <v/>
      </c>
      <c r="F836" s="292" t="str">
        <f ca="1">IF(ISERROR($S836),"",OFFSET('Smelter Reference List'!$E$4,$S836-4,0))</f>
        <v/>
      </c>
      <c r="G836" s="292" t="str">
        <f ca="1">IF(C836=$U$4,"Enter smelter details", IF(ISERROR($S836),"",OFFSET('Smelter Reference List'!$F$4,$S836-4,0)))</f>
        <v/>
      </c>
      <c r="H836" s="293" t="str">
        <f ca="1">IF(ISERROR($S836),"",OFFSET('Smelter Reference List'!$G$4,$S836-4,0))</f>
        <v/>
      </c>
      <c r="I836" s="294" t="str">
        <f ca="1">IF(ISERROR($S836),"",OFFSET('Smelter Reference List'!$H$4,$S836-4,0))</f>
        <v/>
      </c>
      <c r="J836" s="294" t="str">
        <f ca="1">IF(ISERROR($S836),"",OFFSET('Smelter Reference List'!$I$4,$S836-4,0))</f>
        <v/>
      </c>
      <c r="K836" s="295"/>
      <c r="L836" s="295"/>
      <c r="M836" s="295"/>
      <c r="N836" s="295"/>
      <c r="O836" s="295"/>
      <c r="P836" s="295"/>
      <c r="Q836" s="296"/>
      <c r="R836" s="227"/>
      <c r="S836" s="228" t="e">
        <f>IF(C836="",NA(),MATCH($B836&amp;$C836,'Smelter Reference List'!$J:$J,0))</f>
        <v>#N/A</v>
      </c>
      <c r="T836" s="229"/>
      <c r="U836" s="229">
        <f t="shared" ca="1" si="26"/>
        <v>0</v>
      </c>
      <c r="V836" s="229"/>
      <c r="W836" s="229"/>
      <c r="Y836" s="223" t="str">
        <f t="shared" si="27"/>
        <v/>
      </c>
    </row>
    <row r="837" spans="1:25" s="223" customFormat="1" ht="20.25">
      <c r="A837" s="291"/>
      <c r="B837" s="292" t="str">
        <f>IF(LEN(A837)=0,"",INDEX('Smelter Reference List'!$A:$A,MATCH($A837,'Smelter Reference List'!$E:$E,0)))</f>
        <v/>
      </c>
      <c r="C837" s="298" t="str">
        <f>IF(LEN(A837)=0,"",INDEX('Smelter Reference List'!$C:$C,MATCH($A837,'Smelter Reference List'!$E:$E,0)))</f>
        <v/>
      </c>
      <c r="D837" s="292" t="str">
        <f ca="1">IF(ISERROR($S837),"",OFFSET('Smelter Reference List'!$C$4,$S837-4,0)&amp;"")</f>
        <v/>
      </c>
      <c r="E837" s="292" t="str">
        <f ca="1">IF(ISERROR($S837),"",OFFSET('Smelter Reference List'!$D$4,$S837-4,0)&amp;"")</f>
        <v/>
      </c>
      <c r="F837" s="292" t="str">
        <f ca="1">IF(ISERROR($S837),"",OFFSET('Smelter Reference List'!$E$4,$S837-4,0))</f>
        <v/>
      </c>
      <c r="G837" s="292" t="str">
        <f ca="1">IF(C837=$U$4,"Enter smelter details", IF(ISERROR($S837),"",OFFSET('Smelter Reference List'!$F$4,$S837-4,0)))</f>
        <v/>
      </c>
      <c r="H837" s="293" t="str">
        <f ca="1">IF(ISERROR($S837),"",OFFSET('Smelter Reference List'!$G$4,$S837-4,0))</f>
        <v/>
      </c>
      <c r="I837" s="294" t="str">
        <f ca="1">IF(ISERROR($S837),"",OFFSET('Smelter Reference List'!$H$4,$S837-4,0))</f>
        <v/>
      </c>
      <c r="J837" s="294" t="str">
        <f ca="1">IF(ISERROR($S837),"",OFFSET('Smelter Reference List'!$I$4,$S837-4,0))</f>
        <v/>
      </c>
      <c r="K837" s="295"/>
      <c r="L837" s="295"/>
      <c r="M837" s="295"/>
      <c r="N837" s="295"/>
      <c r="O837" s="295"/>
      <c r="P837" s="295"/>
      <c r="Q837" s="296"/>
      <c r="R837" s="227"/>
      <c r="S837" s="228" t="e">
        <f>IF(C837="",NA(),MATCH($B837&amp;$C837,'Smelter Reference List'!$J:$J,0))</f>
        <v>#N/A</v>
      </c>
      <c r="T837" s="229"/>
      <c r="U837" s="229">
        <f t="shared" ref="U837:U900" ca="1" si="28">IF(AND(C837="Smelter not listed",OR(LEN(D837)=0,LEN(E837)=0)),1,0)</f>
        <v>0</v>
      </c>
      <c r="V837" s="229"/>
      <c r="W837" s="229"/>
      <c r="Y837" s="223" t="str">
        <f t="shared" ref="Y837:Y900" si="29">B837&amp;C837</f>
        <v/>
      </c>
    </row>
    <row r="838" spans="1:25" s="223" customFormat="1" ht="20.25">
      <c r="A838" s="291"/>
      <c r="B838" s="292" t="str">
        <f>IF(LEN(A838)=0,"",INDEX('Smelter Reference List'!$A:$A,MATCH($A838,'Smelter Reference List'!$E:$E,0)))</f>
        <v/>
      </c>
      <c r="C838" s="298" t="str">
        <f>IF(LEN(A838)=0,"",INDEX('Smelter Reference List'!$C:$C,MATCH($A838,'Smelter Reference List'!$E:$E,0)))</f>
        <v/>
      </c>
      <c r="D838" s="292" t="str">
        <f ca="1">IF(ISERROR($S838),"",OFFSET('Smelter Reference List'!$C$4,$S838-4,0)&amp;"")</f>
        <v/>
      </c>
      <c r="E838" s="292" t="str">
        <f ca="1">IF(ISERROR($S838),"",OFFSET('Smelter Reference List'!$D$4,$S838-4,0)&amp;"")</f>
        <v/>
      </c>
      <c r="F838" s="292" t="str">
        <f ca="1">IF(ISERROR($S838),"",OFFSET('Smelter Reference List'!$E$4,$S838-4,0))</f>
        <v/>
      </c>
      <c r="G838" s="292" t="str">
        <f ca="1">IF(C838=$U$4,"Enter smelter details", IF(ISERROR($S838),"",OFFSET('Smelter Reference List'!$F$4,$S838-4,0)))</f>
        <v/>
      </c>
      <c r="H838" s="293" t="str">
        <f ca="1">IF(ISERROR($S838),"",OFFSET('Smelter Reference List'!$G$4,$S838-4,0))</f>
        <v/>
      </c>
      <c r="I838" s="294" t="str">
        <f ca="1">IF(ISERROR($S838),"",OFFSET('Smelter Reference List'!$H$4,$S838-4,0))</f>
        <v/>
      </c>
      <c r="J838" s="294" t="str">
        <f ca="1">IF(ISERROR($S838),"",OFFSET('Smelter Reference List'!$I$4,$S838-4,0))</f>
        <v/>
      </c>
      <c r="K838" s="295"/>
      <c r="L838" s="295"/>
      <c r="M838" s="295"/>
      <c r="N838" s="295"/>
      <c r="O838" s="295"/>
      <c r="P838" s="295"/>
      <c r="Q838" s="296"/>
      <c r="R838" s="227"/>
      <c r="S838" s="228" t="e">
        <f>IF(C838="",NA(),MATCH($B838&amp;$C838,'Smelter Reference List'!$J:$J,0))</f>
        <v>#N/A</v>
      </c>
      <c r="T838" s="229"/>
      <c r="U838" s="229">
        <f t="shared" ca="1" si="28"/>
        <v>0</v>
      </c>
      <c r="V838" s="229"/>
      <c r="W838" s="229"/>
      <c r="Y838" s="223" t="str">
        <f t="shared" si="29"/>
        <v/>
      </c>
    </row>
    <row r="839" spans="1:25" s="223" customFormat="1" ht="20.25">
      <c r="A839" s="291"/>
      <c r="B839" s="292" t="str">
        <f>IF(LEN(A839)=0,"",INDEX('Smelter Reference List'!$A:$A,MATCH($A839,'Smelter Reference List'!$E:$E,0)))</f>
        <v/>
      </c>
      <c r="C839" s="298" t="str">
        <f>IF(LEN(A839)=0,"",INDEX('Smelter Reference List'!$C:$C,MATCH($A839,'Smelter Reference List'!$E:$E,0)))</f>
        <v/>
      </c>
      <c r="D839" s="292" t="str">
        <f ca="1">IF(ISERROR($S839),"",OFFSET('Smelter Reference List'!$C$4,$S839-4,0)&amp;"")</f>
        <v/>
      </c>
      <c r="E839" s="292" t="str">
        <f ca="1">IF(ISERROR($S839),"",OFFSET('Smelter Reference List'!$D$4,$S839-4,0)&amp;"")</f>
        <v/>
      </c>
      <c r="F839" s="292" t="str">
        <f ca="1">IF(ISERROR($S839),"",OFFSET('Smelter Reference List'!$E$4,$S839-4,0))</f>
        <v/>
      </c>
      <c r="G839" s="292" t="str">
        <f ca="1">IF(C839=$U$4,"Enter smelter details", IF(ISERROR($S839),"",OFFSET('Smelter Reference List'!$F$4,$S839-4,0)))</f>
        <v/>
      </c>
      <c r="H839" s="293" t="str">
        <f ca="1">IF(ISERROR($S839),"",OFFSET('Smelter Reference List'!$G$4,$S839-4,0))</f>
        <v/>
      </c>
      <c r="I839" s="294" t="str">
        <f ca="1">IF(ISERROR($S839),"",OFFSET('Smelter Reference List'!$H$4,$S839-4,0))</f>
        <v/>
      </c>
      <c r="J839" s="294" t="str">
        <f ca="1">IF(ISERROR($S839),"",OFFSET('Smelter Reference List'!$I$4,$S839-4,0))</f>
        <v/>
      </c>
      <c r="K839" s="295"/>
      <c r="L839" s="295"/>
      <c r="M839" s="295"/>
      <c r="N839" s="295"/>
      <c r="O839" s="295"/>
      <c r="P839" s="295"/>
      <c r="Q839" s="296"/>
      <c r="R839" s="227"/>
      <c r="S839" s="228" t="e">
        <f>IF(C839="",NA(),MATCH($B839&amp;$C839,'Smelter Reference List'!$J:$J,0))</f>
        <v>#N/A</v>
      </c>
      <c r="T839" s="229"/>
      <c r="U839" s="229">
        <f t="shared" ca="1" si="28"/>
        <v>0</v>
      </c>
      <c r="V839" s="229"/>
      <c r="W839" s="229"/>
      <c r="Y839" s="223" t="str">
        <f t="shared" si="29"/>
        <v/>
      </c>
    </row>
    <row r="840" spans="1:25" s="223" customFormat="1" ht="20.25">
      <c r="A840" s="291"/>
      <c r="B840" s="292" t="str">
        <f>IF(LEN(A840)=0,"",INDEX('Smelter Reference List'!$A:$A,MATCH($A840,'Smelter Reference List'!$E:$E,0)))</f>
        <v/>
      </c>
      <c r="C840" s="298" t="str">
        <f>IF(LEN(A840)=0,"",INDEX('Smelter Reference List'!$C:$C,MATCH($A840,'Smelter Reference List'!$E:$E,0)))</f>
        <v/>
      </c>
      <c r="D840" s="292" t="str">
        <f ca="1">IF(ISERROR($S840),"",OFFSET('Smelter Reference List'!$C$4,$S840-4,0)&amp;"")</f>
        <v/>
      </c>
      <c r="E840" s="292" t="str">
        <f ca="1">IF(ISERROR($S840),"",OFFSET('Smelter Reference List'!$D$4,$S840-4,0)&amp;"")</f>
        <v/>
      </c>
      <c r="F840" s="292" t="str">
        <f ca="1">IF(ISERROR($S840),"",OFFSET('Smelter Reference List'!$E$4,$S840-4,0))</f>
        <v/>
      </c>
      <c r="G840" s="292" t="str">
        <f ca="1">IF(C840=$U$4,"Enter smelter details", IF(ISERROR($S840),"",OFFSET('Smelter Reference List'!$F$4,$S840-4,0)))</f>
        <v/>
      </c>
      <c r="H840" s="293" t="str">
        <f ca="1">IF(ISERROR($S840),"",OFFSET('Smelter Reference List'!$G$4,$S840-4,0))</f>
        <v/>
      </c>
      <c r="I840" s="294" t="str">
        <f ca="1">IF(ISERROR($S840),"",OFFSET('Smelter Reference List'!$H$4,$S840-4,0))</f>
        <v/>
      </c>
      <c r="J840" s="294" t="str">
        <f ca="1">IF(ISERROR($S840),"",OFFSET('Smelter Reference List'!$I$4,$S840-4,0))</f>
        <v/>
      </c>
      <c r="K840" s="295"/>
      <c r="L840" s="295"/>
      <c r="M840" s="295"/>
      <c r="N840" s="295"/>
      <c r="O840" s="295"/>
      <c r="P840" s="295"/>
      <c r="Q840" s="296"/>
      <c r="R840" s="227"/>
      <c r="S840" s="228" t="e">
        <f>IF(C840="",NA(),MATCH($B840&amp;$C840,'Smelter Reference List'!$J:$J,0))</f>
        <v>#N/A</v>
      </c>
      <c r="T840" s="229"/>
      <c r="U840" s="229">
        <f t="shared" ca="1" si="28"/>
        <v>0</v>
      </c>
      <c r="V840" s="229"/>
      <c r="W840" s="229"/>
      <c r="Y840" s="223" t="str">
        <f t="shared" si="29"/>
        <v/>
      </c>
    </row>
    <row r="841" spans="1:25" s="223" customFormat="1" ht="20.25">
      <c r="A841" s="291"/>
      <c r="B841" s="292" t="str">
        <f>IF(LEN(A841)=0,"",INDEX('Smelter Reference List'!$A:$A,MATCH($A841,'Smelter Reference List'!$E:$E,0)))</f>
        <v/>
      </c>
      <c r="C841" s="298" t="str">
        <f>IF(LEN(A841)=0,"",INDEX('Smelter Reference List'!$C:$C,MATCH($A841,'Smelter Reference List'!$E:$E,0)))</f>
        <v/>
      </c>
      <c r="D841" s="292" t="str">
        <f ca="1">IF(ISERROR($S841),"",OFFSET('Smelter Reference List'!$C$4,$S841-4,0)&amp;"")</f>
        <v/>
      </c>
      <c r="E841" s="292" t="str">
        <f ca="1">IF(ISERROR($S841),"",OFFSET('Smelter Reference List'!$D$4,$S841-4,0)&amp;"")</f>
        <v/>
      </c>
      <c r="F841" s="292" t="str">
        <f ca="1">IF(ISERROR($S841),"",OFFSET('Smelter Reference List'!$E$4,$S841-4,0))</f>
        <v/>
      </c>
      <c r="G841" s="292" t="str">
        <f ca="1">IF(C841=$U$4,"Enter smelter details", IF(ISERROR($S841),"",OFFSET('Smelter Reference List'!$F$4,$S841-4,0)))</f>
        <v/>
      </c>
      <c r="H841" s="293" t="str">
        <f ca="1">IF(ISERROR($S841),"",OFFSET('Smelter Reference List'!$G$4,$S841-4,0))</f>
        <v/>
      </c>
      <c r="I841" s="294" t="str">
        <f ca="1">IF(ISERROR($S841),"",OFFSET('Smelter Reference List'!$H$4,$S841-4,0))</f>
        <v/>
      </c>
      <c r="J841" s="294" t="str">
        <f ca="1">IF(ISERROR($S841),"",OFFSET('Smelter Reference List'!$I$4,$S841-4,0))</f>
        <v/>
      </c>
      <c r="K841" s="295"/>
      <c r="L841" s="295"/>
      <c r="M841" s="295"/>
      <c r="N841" s="295"/>
      <c r="O841" s="295"/>
      <c r="P841" s="295"/>
      <c r="Q841" s="296"/>
      <c r="R841" s="227"/>
      <c r="S841" s="228" t="e">
        <f>IF(C841="",NA(),MATCH($B841&amp;$C841,'Smelter Reference List'!$J:$J,0))</f>
        <v>#N/A</v>
      </c>
      <c r="T841" s="229"/>
      <c r="U841" s="229">
        <f t="shared" ca="1" si="28"/>
        <v>0</v>
      </c>
      <c r="V841" s="229"/>
      <c r="W841" s="229"/>
      <c r="Y841" s="223" t="str">
        <f t="shared" si="29"/>
        <v/>
      </c>
    </row>
    <row r="842" spans="1:25" s="223" customFormat="1" ht="20.25">
      <c r="A842" s="291"/>
      <c r="B842" s="292" t="str">
        <f>IF(LEN(A842)=0,"",INDEX('Smelter Reference List'!$A:$A,MATCH($A842,'Smelter Reference List'!$E:$E,0)))</f>
        <v/>
      </c>
      <c r="C842" s="298" t="str">
        <f>IF(LEN(A842)=0,"",INDEX('Smelter Reference List'!$C:$C,MATCH($A842,'Smelter Reference List'!$E:$E,0)))</f>
        <v/>
      </c>
      <c r="D842" s="292" t="str">
        <f ca="1">IF(ISERROR($S842),"",OFFSET('Smelter Reference List'!$C$4,$S842-4,0)&amp;"")</f>
        <v/>
      </c>
      <c r="E842" s="292" t="str">
        <f ca="1">IF(ISERROR($S842),"",OFFSET('Smelter Reference List'!$D$4,$S842-4,0)&amp;"")</f>
        <v/>
      </c>
      <c r="F842" s="292" t="str">
        <f ca="1">IF(ISERROR($S842),"",OFFSET('Smelter Reference List'!$E$4,$S842-4,0))</f>
        <v/>
      </c>
      <c r="G842" s="292" t="str">
        <f ca="1">IF(C842=$U$4,"Enter smelter details", IF(ISERROR($S842),"",OFFSET('Smelter Reference List'!$F$4,$S842-4,0)))</f>
        <v/>
      </c>
      <c r="H842" s="293" t="str">
        <f ca="1">IF(ISERROR($S842),"",OFFSET('Smelter Reference List'!$G$4,$S842-4,0))</f>
        <v/>
      </c>
      <c r="I842" s="294" t="str">
        <f ca="1">IF(ISERROR($S842),"",OFFSET('Smelter Reference List'!$H$4,$S842-4,0))</f>
        <v/>
      </c>
      <c r="J842" s="294" t="str">
        <f ca="1">IF(ISERROR($S842),"",OFFSET('Smelter Reference List'!$I$4,$S842-4,0))</f>
        <v/>
      </c>
      <c r="K842" s="295"/>
      <c r="L842" s="295"/>
      <c r="M842" s="295"/>
      <c r="N842" s="295"/>
      <c r="O842" s="295"/>
      <c r="P842" s="295"/>
      <c r="Q842" s="296"/>
      <c r="R842" s="227"/>
      <c r="S842" s="228" t="e">
        <f>IF(C842="",NA(),MATCH($B842&amp;$C842,'Smelter Reference List'!$J:$J,0))</f>
        <v>#N/A</v>
      </c>
      <c r="T842" s="229"/>
      <c r="U842" s="229">
        <f t="shared" ca="1" si="28"/>
        <v>0</v>
      </c>
      <c r="V842" s="229"/>
      <c r="W842" s="229"/>
      <c r="Y842" s="223" t="str">
        <f t="shared" si="29"/>
        <v/>
      </c>
    </row>
    <row r="843" spans="1:25" s="223" customFormat="1" ht="20.25">
      <c r="A843" s="291"/>
      <c r="B843" s="292" t="str">
        <f>IF(LEN(A843)=0,"",INDEX('Smelter Reference List'!$A:$A,MATCH($A843,'Smelter Reference List'!$E:$E,0)))</f>
        <v/>
      </c>
      <c r="C843" s="298" t="str">
        <f>IF(LEN(A843)=0,"",INDEX('Smelter Reference List'!$C:$C,MATCH($A843,'Smelter Reference List'!$E:$E,0)))</f>
        <v/>
      </c>
      <c r="D843" s="292" t="str">
        <f ca="1">IF(ISERROR($S843),"",OFFSET('Smelter Reference List'!$C$4,$S843-4,0)&amp;"")</f>
        <v/>
      </c>
      <c r="E843" s="292" t="str">
        <f ca="1">IF(ISERROR($S843),"",OFFSET('Smelter Reference List'!$D$4,$S843-4,0)&amp;"")</f>
        <v/>
      </c>
      <c r="F843" s="292" t="str">
        <f ca="1">IF(ISERROR($S843),"",OFFSET('Smelter Reference List'!$E$4,$S843-4,0))</f>
        <v/>
      </c>
      <c r="G843" s="292" t="str">
        <f ca="1">IF(C843=$U$4,"Enter smelter details", IF(ISERROR($S843),"",OFFSET('Smelter Reference List'!$F$4,$S843-4,0)))</f>
        <v/>
      </c>
      <c r="H843" s="293" t="str">
        <f ca="1">IF(ISERROR($S843),"",OFFSET('Smelter Reference List'!$G$4,$S843-4,0))</f>
        <v/>
      </c>
      <c r="I843" s="294" t="str">
        <f ca="1">IF(ISERROR($S843),"",OFFSET('Smelter Reference List'!$H$4,$S843-4,0))</f>
        <v/>
      </c>
      <c r="J843" s="294" t="str">
        <f ca="1">IF(ISERROR($S843),"",OFFSET('Smelter Reference List'!$I$4,$S843-4,0))</f>
        <v/>
      </c>
      <c r="K843" s="295"/>
      <c r="L843" s="295"/>
      <c r="M843" s="295"/>
      <c r="N843" s="295"/>
      <c r="O843" s="295"/>
      <c r="P843" s="295"/>
      <c r="Q843" s="296"/>
      <c r="R843" s="227"/>
      <c r="S843" s="228" t="e">
        <f>IF(C843="",NA(),MATCH($B843&amp;$C843,'Smelter Reference List'!$J:$J,0))</f>
        <v>#N/A</v>
      </c>
      <c r="T843" s="229"/>
      <c r="U843" s="229">
        <f t="shared" ca="1" si="28"/>
        <v>0</v>
      </c>
      <c r="V843" s="229"/>
      <c r="W843" s="229"/>
      <c r="Y843" s="223" t="str">
        <f t="shared" si="29"/>
        <v/>
      </c>
    </row>
    <row r="844" spans="1:25" s="223" customFormat="1" ht="20.25">
      <c r="A844" s="291"/>
      <c r="B844" s="292" t="str">
        <f>IF(LEN(A844)=0,"",INDEX('Smelter Reference List'!$A:$A,MATCH($A844,'Smelter Reference List'!$E:$E,0)))</f>
        <v/>
      </c>
      <c r="C844" s="298" t="str">
        <f>IF(LEN(A844)=0,"",INDEX('Smelter Reference List'!$C:$C,MATCH($A844,'Smelter Reference List'!$E:$E,0)))</f>
        <v/>
      </c>
      <c r="D844" s="292" t="str">
        <f ca="1">IF(ISERROR($S844),"",OFFSET('Smelter Reference List'!$C$4,$S844-4,0)&amp;"")</f>
        <v/>
      </c>
      <c r="E844" s="292" t="str">
        <f ca="1">IF(ISERROR($S844),"",OFFSET('Smelter Reference List'!$D$4,$S844-4,0)&amp;"")</f>
        <v/>
      </c>
      <c r="F844" s="292" t="str">
        <f ca="1">IF(ISERROR($S844),"",OFFSET('Smelter Reference List'!$E$4,$S844-4,0))</f>
        <v/>
      </c>
      <c r="G844" s="292" t="str">
        <f ca="1">IF(C844=$U$4,"Enter smelter details", IF(ISERROR($S844),"",OFFSET('Smelter Reference List'!$F$4,$S844-4,0)))</f>
        <v/>
      </c>
      <c r="H844" s="293" t="str">
        <f ca="1">IF(ISERROR($S844),"",OFFSET('Smelter Reference List'!$G$4,$S844-4,0))</f>
        <v/>
      </c>
      <c r="I844" s="294" t="str">
        <f ca="1">IF(ISERROR($S844),"",OFFSET('Smelter Reference List'!$H$4,$S844-4,0))</f>
        <v/>
      </c>
      <c r="J844" s="294" t="str">
        <f ca="1">IF(ISERROR($S844),"",OFFSET('Smelter Reference List'!$I$4,$S844-4,0))</f>
        <v/>
      </c>
      <c r="K844" s="295"/>
      <c r="L844" s="295"/>
      <c r="M844" s="295"/>
      <c r="N844" s="295"/>
      <c r="O844" s="295"/>
      <c r="P844" s="295"/>
      <c r="Q844" s="296"/>
      <c r="R844" s="227"/>
      <c r="S844" s="228" t="e">
        <f>IF(C844="",NA(),MATCH($B844&amp;$C844,'Smelter Reference List'!$J:$J,0))</f>
        <v>#N/A</v>
      </c>
      <c r="T844" s="229"/>
      <c r="U844" s="229">
        <f t="shared" ca="1" si="28"/>
        <v>0</v>
      </c>
      <c r="V844" s="229"/>
      <c r="W844" s="229"/>
      <c r="Y844" s="223" t="str">
        <f t="shared" si="29"/>
        <v/>
      </c>
    </row>
    <row r="845" spans="1:25" s="223" customFormat="1" ht="20.25">
      <c r="A845" s="291"/>
      <c r="B845" s="292" t="str">
        <f>IF(LEN(A845)=0,"",INDEX('Smelter Reference List'!$A:$A,MATCH($A845,'Smelter Reference List'!$E:$E,0)))</f>
        <v/>
      </c>
      <c r="C845" s="298" t="str">
        <f>IF(LEN(A845)=0,"",INDEX('Smelter Reference List'!$C:$C,MATCH($A845,'Smelter Reference List'!$E:$E,0)))</f>
        <v/>
      </c>
      <c r="D845" s="292" t="str">
        <f ca="1">IF(ISERROR($S845),"",OFFSET('Smelter Reference List'!$C$4,$S845-4,0)&amp;"")</f>
        <v/>
      </c>
      <c r="E845" s="292" t="str">
        <f ca="1">IF(ISERROR($S845),"",OFFSET('Smelter Reference List'!$D$4,$S845-4,0)&amp;"")</f>
        <v/>
      </c>
      <c r="F845" s="292" t="str">
        <f ca="1">IF(ISERROR($S845),"",OFFSET('Smelter Reference List'!$E$4,$S845-4,0))</f>
        <v/>
      </c>
      <c r="G845" s="292" t="str">
        <f ca="1">IF(C845=$U$4,"Enter smelter details", IF(ISERROR($S845),"",OFFSET('Smelter Reference List'!$F$4,$S845-4,0)))</f>
        <v/>
      </c>
      <c r="H845" s="293" t="str">
        <f ca="1">IF(ISERROR($S845),"",OFFSET('Smelter Reference List'!$G$4,$S845-4,0))</f>
        <v/>
      </c>
      <c r="I845" s="294" t="str">
        <f ca="1">IF(ISERROR($S845),"",OFFSET('Smelter Reference List'!$H$4,$S845-4,0))</f>
        <v/>
      </c>
      <c r="J845" s="294" t="str">
        <f ca="1">IF(ISERROR($S845),"",OFFSET('Smelter Reference List'!$I$4,$S845-4,0))</f>
        <v/>
      </c>
      <c r="K845" s="295"/>
      <c r="L845" s="295"/>
      <c r="M845" s="295"/>
      <c r="N845" s="295"/>
      <c r="O845" s="295"/>
      <c r="P845" s="295"/>
      <c r="Q845" s="296"/>
      <c r="R845" s="227"/>
      <c r="S845" s="228" t="e">
        <f>IF(C845="",NA(),MATCH($B845&amp;$C845,'Smelter Reference List'!$J:$J,0))</f>
        <v>#N/A</v>
      </c>
      <c r="T845" s="229"/>
      <c r="U845" s="229">
        <f t="shared" ca="1" si="28"/>
        <v>0</v>
      </c>
      <c r="V845" s="229"/>
      <c r="W845" s="229"/>
      <c r="Y845" s="223" t="str">
        <f t="shared" si="29"/>
        <v/>
      </c>
    </row>
    <row r="846" spans="1:25" s="223" customFormat="1" ht="20.25">
      <c r="A846" s="291"/>
      <c r="B846" s="292" t="str">
        <f>IF(LEN(A846)=0,"",INDEX('Smelter Reference List'!$A:$A,MATCH($A846,'Smelter Reference List'!$E:$E,0)))</f>
        <v/>
      </c>
      <c r="C846" s="298" t="str">
        <f>IF(LEN(A846)=0,"",INDEX('Smelter Reference List'!$C:$C,MATCH($A846,'Smelter Reference List'!$E:$E,0)))</f>
        <v/>
      </c>
      <c r="D846" s="292" t="str">
        <f ca="1">IF(ISERROR($S846),"",OFFSET('Smelter Reference List'!$C$4,$S846-4,0)&amp;"")</f>
        <v/>
      </c>
      <c r="E846" s="292" t="str">
        <f ca="1">IF(ISERROR($S846),"",OFFSET('Smelter Reference List'!$D$4,$S846-4,0)&amp;"")</f>
        <v/>
      </c>
      <c r="F846" s="292" t="str">
        <f ca="1">IF(ISERROR($S846),"",OFFSET('Smelter Reference List'!$E$4,$S846-4,0))</f>
        <v/>
      </c>
      <c r="G846" s="292" t="str">
        <f ca="1">IF(C846=$U$4,"Enter smelter details", IF(ISERROR($S846),"",OFFSET('Smelter Reference List'!$F$4,$S846-4,0)))</f>
        <v/>
      </c>
      <c r="H846" s="293" t="str">
        <f ca="1">IF(ISERROR($S846),"",OFFSET('Smelter Reference List'!$G$4,$S846-4,0))</f>
        <v/>
      </c>
      <c r="I846" s="294" t="str">
        <f ca="1">IF(ISERROR($S846),"",OFFSET('Smelter Reference List'!$H$4,$S846-4,0))</f>
        <v/>
      </c>
      <c r="J846" s="294" t="str">
        <f ca="1">IF(ISERROR($S846),"",OFFSET('Smelter Reference List'!$I$4,$S846-4,0))</f>
        <v/>
      </c>
      <c r="K846" s="295"/>
      <c r="L846" s="295"/>
      <c r="M846" s="295"/>
      <c r="N846" s="295"/>
      <c r="O846" s="295"/>
      <c r="P846" s="295"/>
      <c r="Q846" s="296"/>
      <c r="R846" s="227"/>
      <c r="S846" s="228" t="e">
        <f>IF(C846="",NA(),MATCH($B846&amp;$C846,'Smelter Reference List'!$J:$J,0))</f>
        <v>#N/A</v>
      </c>
      <c r="T846" s="229"/>
      <c r="U846" s="229">
        <f t="shared" ca="1" si="28"/>
        <v>0</v>
      </c>
      <c r="V846" s="229"/>
      <c r="W846" s="229"/>
      <c r="Y846" s="223" t="str">
        <f t="shared" si="29"/>
        <v/>
      </c>
    </row>
    <row r="847" spans="1:25" s="223" customFormat="1" ht="20.25">
      <c r="A847" s="291"/>
      <c r="B847" s="292" t="str">
        <f>IF(LEN(A847)=0,"",INDEX('Smelter Reference List'!$A:$A,MATCH($A847,'Smelter Reference List'!$E:$E,0)))</f>
        <v/>
      </c>
      <c r="C847" s="298" t="str">
        <f>IF(LEN(A847)=0,"",INDEX('Smelter Reference List'!$C:$C,MATCH($A847,'Smelter Reference List'!$E:$E,0)))</f>
        <v/>
      </c>
      <c r="D847" s="292" t="str">
        <f ca="1">IF(ISERROR($S847),"",OFFSET('Smelter Reference List'!$C$4,$S847-4,0)&amp;"")</f>
        <v/>
      </c>
      <c r="E847" s="292" t="str">
        <f ca="1">IF(ISERROR($S847),"",OFFSET('Smelter Reference List'!$D$4,$S847-4,0)&amp;"")</f>
        <v/>
      </c>
      <c r="F847" s="292" t="str">
        <f ca="1">IF(ISERROR($S847),"",OFFSET('Smelter Reference List'!$E$4,$S847-4,0))</f>
        <v/>
      </c>
      <c r="G847" s="292" t="str">
        <f ca="1">IF(C847=$U$4,"Enter smelter details", IF(ISERROR($S847),"",OFFSET('Smelter Reference List'!$F$4,$S847-4,0)))</f>
        <v/>
      </c>
      <c r="H847" s="293" t="str">
        <f ca="1">IF(ISERROR($S847),"",OFFSET('Smelter Reference List'!$G$4,$S847-4,0))</f>
        <v/>
      </c>
      <c r="I847" s="294" t="str">
        <f ca="1">IF(ISERROR($S847),"",OFFSET('Smelter Reference List'!$H$4,$S847-4,0))</f>
        <v/>
      </c>
      <c r="J847" s="294" t="str">
        <f ca="1">IF(ISERROR($S847),"",OFFSET('Smelter Reference List'!$I$4,$S847-4,0))</f>
        <v/>
      </c>
      <c r="K847" s="295"/>
      <c r="L847" s="295"/>
      <c r="M847" s="295"/>
      <c r="N847" s="295"/>
      <c r="O847" s="295"/>
      <c r="P847" s="295"/>
      <c r="Q847" s="296"/>
      <c r="R847" s="227"/>
      <c r="S847" s="228" t="e">
        <f>IF(C847="",NA(),MATCH($B847&amp;$C847,'Smelter Reference List'!$J:$J,0))</f>
        <v>#N/A</v>
      </c>
      <c r="T847" s="229"/>
      <c r="U847" s="229">
        <f t="shared" ca="1" si="28"/>
        <v>0</v>
      </c>
      <c r="V847" s="229"/>
      <c r="W847" s="229"/>
      <c r="Y847" s="223" t="str">
        <f t="shared" si="29"/>
        <v/>
      </c>
    </row>
    <row r="848" spans="1:25" s="223" customFormat="1" ht="20.25">
      <c r="A848" s="291"/>
      <c r="B848" s="292" t="str">
        <f>IF(LEN(A848)=0,"",INDEX('Smelter Reference List'!$A:$A,MATCH($A848,'Smelter Reference List'!$E:$E,0)))</f>
        <v/>
      </c>
      <c r="C848" s="298" t="str">
        <f>IF(LEN(A848)=0,"",INDEX('Smelter Reference List'!$C:$C,MATCH($A848,'Smelter Reference List'!$E:$E,0)))</f>
        <v/>
      </c>
      <c r="D848" s="292" t="str">
        <f ca="1">IF(ISERROR($S848),"",OFFSET('Smelter Reference List'!$C$4,$S848-4,0)&amp;"")</f>
        <v/>
      </c>
      <c r="E848" s="292" t="str">
        <f ca="1">IF(ISERROR($S848),"",OFFSET('Smelter Reference List'!$D$4,$S848-4,0)&amp;"")</f>
        <v/>
      </c>
      <c r="F848" s="292" t="str">
        <f ca="1">IF(ISERROR($S848),"",OFFSET('Smelter Reference List'!$E$4,$S848-4,0))</f>
        <v/>
      </c>
      <c r="G848" s="292" t="str">
        <f ca="1">IF(C848=$U$4,"Enter smelter details", IF(ISERROR($S848),"",OFFSET('Smelter Reference List'!$F$4,$S848-4,0)))</f>
        <v/>
      </c>
      <c r="H848" s="293" t="str">
        <f ca="1">IF(ISERROR($S848),"",OFFSET('Smelter Reference List'!$G$4,$S848-4,0))</f>
        <v/>
      </c>
      <c r="I848" s="294" t="str">
        <f ca="1">IF(ISERROR($S848),"",OFFSET('Smelter Reference List'!$H$4,$S848-4,0))</f>
        <v/>
      </c>
      <c r="J848" s="294" t="str">
        <f ca="1">IF(ISERROR($S848),"",OFFSET('Smelter Reference List'!$I$4,$S848-4,0))</f>
        <v/>
      </c>
      <c r="K848" s="295"/>
      <c r="L848" s="295"/>
      <c r="M848" s="295"/>
      <c r="N848" s="295"/>
      <c r="O848" s="295"/>
      <c r="P848" s="295"/>
      <c r="Q848" s="296"/>
      <c r="R848" s="227"/>
      <c r="S848" s="228" t="e">
        <f>IF(C848="",NA(),MATCH($B848&amp;$C848,'Smelter Reference List'!$J:$J,0))</f>
        <v>#N/A</v>
      </c>
      <c r="T848" s="229"/>
      <c r="U848" s="229">
        <f t="shared" ca="1" si="28"/>
        <v>0</v>
      </c>
      <c r="V848" s="229"/>
      <c r="W848" s="229"/>
      <c r="Y848" s="223" t="str">
        <f t="shared" si="29"/>
        <v/>
      </c>
    </row>
    <row r="849" spans="1:25" s="223" customFormat="1" ht="20.25">
      <c r="A849" s="291"/>
      <c r="B849" s="292" t="str">
        <f>IF(LEN(A849)=0,"",INDEX('Smelter Reference List'!$A:$A,MATCH($A849,'Smelter Reference List'!$E:$E,0)))</f>
        <v/>
      </c>
      <c r="C849" s="298" t="str">
        <f>IF(LEN(A849)=0,"",INDEX('Smelter Reference List'!$C:$C,MATCH($A849,'Smelter Reference List'!$E:$E,0)))</f>
        <v/>
      </c>
      <c r="D849" s="292" t="str">
        <f ca="1">IF(ISERROR($S849),"",OFFSET('Smelter Reference List'!$C$4,$S849-4,0)&amp;"")</f>
        <v/>
      </c>
      <c r="E849" s="292" t="str">
        <f ca="1">IF(ISERROR($S849),"",OFFSET('Smelter Reference List'!$D$4,$S849-4,0)&amp;"")</f>
        <v/>
      </c>
      <c r="F849" s="292" t="str">
        <f ca="1">IF(ISERROR($S849),"",OFFSET('Smelter Reference List'!$E$4,$S849-4,0))</f>
        <v/>
      </c>
      <c r="G849" s="292" t="str">
        <f ca="1">IF(C849=$U$4,"Enter smelter details", IF(ISERROR($S849),"",OFFSET('Smelter Reference List'!$F$4,$S849-4,0)))</f>
        <v/>
      </c>
      <c r="H849" s="293" t="str">
        <f ca="1">IF(ISERROR($S849),"",OFFSET('Smelter Reference List'!$G$4,$S849-4,0))</f>
        <v/>
      </c>
      <c r="I849" s="294" t="str">
        <f ca="1">IF(ISERROR($S849),"",OFFSET('Smelter Reference List'!$H$4,$S849-4,0))</f>
        <v/>
      </c>
      <c r="J849" s="294" t="str">
        <f ca="1">IF(ISERROR($S849),"",OFFSET('Smelter Reference List'!$I$4,$S849-4,0))</f>
        <v/>
      </c>
      <c r="K849" s="295"/>
      <c r="L849" s="295"/>
      <c r="M849" s="295"/>
      <c r="N849" s="295"/>
      <c r="O849" s="295"/>
      <c r="P849" s="295"/>
      <c r="Q849" s="296"/>
      <c r="R849" s="227"/>
      <c r="S849" s="228" t="e">
        <f>IF(C849="",NA(),MATCH($B849&amp;$C849,'Smelter Reference List'!$J:$J,0))</f>
        <v>#N/A</v>
      </c>
      <c r="T849" s="229"/>
      <c r="U849" s="229">
        <f t="shared" ca="1" si="28"/>
        <v>0</v>
      </c>
      <c r="V849" s="229"/>
      <c r="W849" s="229"/>
      <c r="Y849" s="223" t="str">
        <f t="shared" si="29"/>
        <v/>
      </c>
    </row>
    <row r="850" spans="1:25" s="223" customFormat="1" ht="20.25">
      <c r="A850" s="291"/>
      <c r="B850" s="292" t="str">
        <f>IF(LEN(A850)=0,"",INDEX('Smelter Reference List'!$A:$A,MATCH($A850,'Smelter Reference List'!$E:$E,0)))</f>
        <v/>
      </c>
      <c r="C850" s="298" t="str">
        <f>IF(LEN(A850)=0,"",INDEX('Smelter Reference List'!$C:$C,MATCH($A850,'Smelter Reference List'!$E:$E,0)))</f>
        <v/>
      </c>
      <c r="D850" s="292" t="str">
        <f ca="1">IF(ISERROR($S850),"",OFFSET('Smelter Reference List'!$C$4,$S850-4,0)&amp;"")</f>
        <v/>
      </c>
      <c r="E850" s="292" t="str">
        <f ca="1">IF(ISERROR($S850),"",OFFSET('Smelter Reference List'!$D$4,$S850-4,0)&amp;"")</f>
        <v/>
      </c>
      <c r="F850" s="292" t="str">
        <f ca="1">IF(ISERROR($S850),"",OFFSET('Smelter Reference List'!$E$4,$S850-4,0))</f>
        <v/>
      </c>
      <c r="G850" s="292" t="str">
        <f ca="1">IF(C850=$U$4,"Enter smelter details", IF(ISERROR($S850),"",OFFSET('Smelter Reference List'!$F$4,$S850-4,0)))</f>
        <v/>
      </c>
      <c r="H850" s="293" t="str">
        <f ca="1">IF(ISERROR($S850),"",OFFSET('Smelter Reference List'!$G$4,$S850-4,0))</f>
        <v/>
      </c>
      <c r="I850" s="294" t="str">
        <f ca="1">IF(ISERROR($S850),"",OFFSET('Smelter Reference List'!$H$4,$S850-4,0))</f>
        <v/>
      </c>
      <c r="J850" s="294" t="str">
        <f ca="1">IF(ISERROR($S850),"",OFFSET('Smelter Reference List'!$I$4,$S850-4,0))</f>
        <v/>
      </c>
      <c r="K850" s="295"/>
      <c r="L850" s="295"/>
      <c r="M850" s="295"/>
      <c r="N850" s="295"/>
      <c r="O850" s="295"/>
      <c r="P850" s="295"/>
      <c r="Q850" s="296"/>
      <c r="R850" s="227"/>
      <c r="S850" s="228" t="e">
        <f>IF(C850="",NA(),MATCH($B850&amp;$C850,'Smelter Reference List'!$J:$J,0))</f>
        <v>#N/A</v>
      </c>
      <c r="T850" s="229"/>
      <c r="U850" s="229">
        <f t="shared" ca="1" si="28"/>
        <v>0</v>
      </c>
      <c r="V850" s="229"/>
      <c r="W850" s="229"/>
      <c r="Y850" s="223" t="str">
        <f t="shared" si="29"/>
        <v/>
      </c>
    </row>
    <row r="851" spans="1:25" s="223" customFormat="1" ht="20.25">
      <c r="A851" s="291"/>
      <c r="B851" s="292" t="str">
        <f>IF(LEN(A851)=0,"",INDEX('Smelter Reference List'!$A:$A,MATCH($A851,'Smelter Reference List'!$E:$E,0)))</f>
        <v/>
      </c>
      <c r="C851" s="298" t="str">
        <f>IF(LEN(A851)=0,"",INDEX('Smelter Reference List'!$C:$C,MATCH($A851,'Smelter Reference List'!$E:$E,0)))</f>
        <v/>
      </c>
      <c r="D851" s="292" t="str">
        <f ca="1">IF(ISERROR($S851),"",OFFSET('Smelter Reference List'!$C$4,$S851-4,0)&amp;"")</f>
        <v/>
      </c>
      <c r="E851" s="292" t="str">
        <f ca="1">IF(ISERROR($S851),"",OFFSET('Smelter Reference List'!$D$4,$S851-4,0)&amp;"")</f>
        <v/>
      </c>
      <c r="F851" s="292" t="str">
        <f ca="1">IF(ISERROR($S851),"",OFFSET('Smelter Reference List'!$E$4,$S851-4,0))</f>
        <v/>
      </c>
      <c r="G851" s="292" t="str">
        <f ca="1">IF(C851=$U$4,"Enter smelter details", IF(ISERROR($S851),"",OFFSET('Smelter Reference List'!$F$4,$S851-4,0)))</f>
        <v/>
      </c>
      <c r="H851" s="293" t="str">
        <f ca="1">IF(ISERROR($S851),"",OFFSET('Smelter Reference List'!$G$4,$S851-4,0))</f>
        <v/>
      </c>
      <c r="I851" s="294" t="str">
        <f ca="1">IF(ISERROR($S851),"",OFFSET('Smelter Reference List'!$H$4,$S851-4,0))</f>
        <v/>
      </c>
      <c r="J851" s="294" t="str">
        <f ca="1">IF(ISERROR($S851),"",OFFSET('Smelter Reference List'!$I$4,$S851-4,0))</f>
        <v/>
      </c>
      <c r="K851" s="295"/>
      <c r="L851" s="295"/>
      <c r="M851" s="295"/>
      <c r="N851" s="295"/>
      <c r="O851" s="295"/>
      <c r="P851" s="295"/>
      <c r="Q851" s="296"/>
      <c r="R851" s="227"/>
      <c r="S851" s="228" t="e">
        <f>IF(C851="",NA(),MATCH($B851&amp;$C851,'Smelter Reference List'!$J:$J,0))</f>
        <v>#N/A</v>
      </c>
      <c r="T851" s="229"/>
      <c r="U851" s="229">
        <f t="shared" ca="1" si="28"/>
        <v>0</v>
      </c>
      <c r="V851" s="229"/>
      <c r="W851" s="229"/>
      <c r="Y851" s="223" t="str">
        <f t="shared" si="29"/>
        <v/>
      </c>
    </row>
    <row r="852" spans="1:25" s="223" customFormat="1" ht="20.25">
      <c r="A852" s="291"/>
      <c r="B852" s="292" t="str">
        <f>IF(LEN(A852)=0,"",INDEX('Smelter Reference List'!$A:$A,MATCH($A852,'Smelter Reference List'!$E:$E,0)))</f>
        <v/>
      </c>
      <c r="C852" s="298" t="str">
        <f>IF(LEN(A852)=0,"",INDEX('Smelter Reference List'!$C:$C,MATCH($A852,'Smelter Reference List'!$E:$E,0)))</f>
        <v/>
      </c>
      <c r="D852" s="292" t="str">
        <f ca="1">IF(ISERROR($S852),"",OFFSET('Smelter Reference List'!$C$4,$S852-4,0)&amp;"")</f>
        <v/>
      </c>
      <c r="E852" s="292" t="str">
        <f ca="1">IF(ISERROR($S852),"",OFFSET('Smelter Reference List'!$D$4,$S852-4,0)&amp;"")</f>
        <v/>
      </c>
      <c r="F852" s="292" t="str">
        <f ca="1">IF(ISERROR($S852),"",OFFSET('Smelter Reference List'!$E$4,$S852-4,0))</f>
        <v/>
      </c>
      <c r="G852" s="292" t="str">
        <f ca="1">IF(C852=$U$4,"Enter smelter details", IF(ISERROR($S852),"",OFFSET('Smelter Reference List'!$F$4,$S852-4,0)))</f>
        <v/>
      </c>
      <c r="H852" s="293" t="str">
        <f ca="1">IF(ISERROR($S852),"",OFFSET('Smelter Reference List'!$G$4,$S852-4,0))</f>
        <v/>
      </c>
      <c r="I852" s="294" t="str">
        <f ca="1">IF(ISERROR($S852),"",OFFSET('Smelter Reference List'!$H$4,$S852-4,0))</f>
        <v/>
      </c>
      <c r="J852" s="294" t="str">
        <f ca="1">IF(ISERROR($S852),"",OFFSET('Smelter Reference List'!$I$4,$S852-4,0))</f>
        <v/>
      </c>
      <c r="K852" s="295"/>
      <c r="L852" s="295"/>
      <c r="M852" s="295"/>
      <c r="N852" s="295"/>
      <c r="O852" s="295"/>
      <c r="P852" s="295"/>
      <c r="Q852" s="296"/>
      <c r="R852" s="227"/>
      <c r="S852" s="228" t="e">
        <f>IF(C852="",NA(),MATCH($B852&amp;$C852,'Smelter Reference List'!$J:$J,0))</f>
        <v>#N/A</v>
      </c>
      <c r="T852" s="229"/>
      <c r="U852" s="229">
        <f t="shared" ca="1" si="28"/>
        <v>0</v>
      </c>
      <c r="V852" s="229"/>
      <c r="W852" s="229"/>
      <c r="Y852" s="223" t="str">
        <f t="shared" si="29"/>
        <v/>
      </c>
    </row>
    <row r="853" spans="1:25" s="223" customFormat="1" ht="20.25">
      <c r="A853" s="291"/>
      <c r="B853" s="292" t="str">
        <f>IF(LEN(A853)=0,"",INDEX('Smelter Reference List'!$A:$A,MATCH($A853,'Smelter Reference List'!$E:$E,0)))</f>
        <v/>
      </c>
      <c r="C853" s="298" t="str">
        <f>IF(LEN(A853)=0,"",INDEX('Smelter Reference List'!$C:$C,MATCH($A853,'Smelter Reference List'!$E:$E,0)))</f>
        <v/>
      </c>
      <c r="D853" s="292" t="str">
        <f ca="1">IF(ISERROR($S853),"",OFFSET('Smelter Reference List'!$C$4,$S853-4,0)&amp;"")</f>
        <v/>
      </c>
      <c r="E853" s="292" t="str">
        <f ca="1">IF(ISERROR($S853),"",OFFSET('Smelter Reference List'!$D$4,$S853-4,0)&amp;"")</f>
        <v/>
      </c>
      <c r="F853" s="292" t="str">
        <f ca="1">IF(ISERROR($S853),"",OFFSET('Smelter Reference List'!$E$4,$S853-4,0))</f>
        <v/>
      </c>
      <c r="G853" s="292" t="str">
        <f ca="1">IF(C853=$U$4,"Enter smelter details", IF(ISERROR($S853),"",OFFSET('Smelter Reference List'!$F$4,$S853-4,0)))</f>
        <v/>
      </c>
      <c r="H853" s="293" t="str">
        <f ca="1">IF(ISERROR($S853),"",OFFSET('Smelter Reference List'!$G$4,$S853-4,0))</f>
        <v/>
      </c>
      <c r="I853" s="294" t="str">
        <f ca="1">IF(ISERROR($S853),"",OFFSET('Smelter Reference List'!$H$4,$S853-4,0))</f>
        <v/>
      </c>
      <c r="J853" s="294" t="str">
        <f ca="1">IF(ISERROR($S853),"",OFFSET('Smelter Reference List'!$I$4,$S853-4,0))</f>
        <v/>
      </c>
      <c r="K853" s="295"/>
      <c r="L853" s="295"/>
      <c r="M853" s="295"/>
      <c r="N853" s="295"/>
      <c r="O853" s="295"/>
      <c r="P853" s="295"/>
      <c r="Q853" s="296"/>
      <c r="R853" s="227"/>
      <c r="S853" s="228" t="e">
        <f>IF(C853="",NA(),MATCH($B853&amp;$C853,'Smelter Reference List'!$J:$J,0))</f>
        <v>#N/A</v>
      </c>
      <c r="T853" s="229"/>
      <c r="U853" s="229">
        <f t="shared" ca="1" si="28"/>
        <v>0</v>
      </c>
      <c r="V853" s="229"/>
      <c r="W853" s="229"/>
      <c r="Y853" s="223" t="str">
        <f t="shared" si="29"/>
        <v/>
      </c>
    </row>
    <row r="854" spans="1:25" s="223" customFormat="1" ht="20.25">
      <c r="A854" s="291"/>
      <c r="B854" s="292" t="str">
        <f>IF(LEN(A854)=0,"",INDEX('Smelter Reference List'!$A:$A,MATCH($A854,'Smelter Reference List'!$E:$E,0)))</f>
        <v/>
      </c>
      <c r="C854" s="298" t="str">
        <f>IF(LEN(A854)=0,"",INDEX('Smelter Reference List'!$C:$C,MATCH($A854,'Smelter Reference List'!$E:$E,0)))</f>
        <v/>
      </c>
      <c r="D854" s="292" t="str">
        <f ca="1">IF(ISERROR($S854),"",OFFSET('Smelter Reference List'!$C$4,$S854-4,0)&amp;"")</f>
        <v/>
      </c>
      <c r="E854" s="292" t="str">
        <f ca="1">IF(ISERROR($S854),"",OFFSET('Smelter Reference List'!$D$4,$S854-4,0)&amp;"")</f>
        <v/>
      </c>
      <c r="F854" s="292" t="str">
        <f ca="1">IF(ISERROR($S854),"",OFFSET('Smelter Reference List'!$E$4,$S854-4,0))</f>
        <v/>
      </c>
      <c r="G854" s="292" t="str">
        <f ca="1">IF(C854=$U$4,"Enter smelter details", IF(ISERROR($S854),"",OFFSET('Smelter Reference List'!$F$4,$S854-4,0)))</f>
        <v/>
      </c>
      <c r="H854" s="293" t="str">
        <f ca="1">IF(ISERROR($S854),"",OFFSET('Smelter Reference List'!$G$4,$S854-4,0))</f>
        <v/>
      </c>
      <c r="I854" s="294" t="str">
        <f ca="1">IF(ISERROR($S854),"",OFFSET('Smelter Reference List'!$H$4,$S854-4,0))</f>
        <v/>
      </c>
      <c r="J854" s="294" t="str">
        <f ca="1">IF(ISERROR($S854),"",OFFSET('Smelter Reference List'!$I$4,$S854-4,0))</f>
        <v/>
      </c>
      <c r="K854" s="295"/>
      <c r="L854" s="295"/>
      <c r="M854" s="295"/>
      <c r="N854" s="295"/>
      <c r="O854" s="295"/>
      <c r="P854" s="295"/>
      <c r="Q854" s="296"/>
      <c r="R854" s="227"/>
      <c r="S854" s="228" t="e">
        <f>IF(C854="",NA(),MATCH($B854&amp;$C854,'Smelter Reference List'!$J:$J,0))</f>
        <v>#N/A</v>
      </c>
      <c r="T854" s="229"/>
      <c r="U854" s="229">
        <f t="shared" ca="1" si="28"/>
        <v>0</v>
      </c>
      <c r="V854" s="229"/>
      <c r="W854" s="229"/>
      <c r="Y854" s="223" t="str">
        <f t="shared" si="29"/>
        <v/>
      </c>
    </row>
    <row r="855" spans="1:25" s="223" customFormat="1" ht="20.25">
      <c r="A855" s="291"/>
      <c r="B855" s="292" t="str">
        <f>IF(LEN(A855)=0,"",INDEX('Smelter Reference List'!$A:$A,MATCH($A855,'Smelter Reference List'!$E:$E,0)))</f>
        <v/>
      </c>
      <c r="C855" s="298" t="str">
        <f>IF(LEN(A855)=0,"",INDEX('Smelter Reference List'!$C:$C,MATCH($A855,'Smelter Reference List'!$E:$E,0)))</f>
        <v/>
      </c>
      <c r="D855" s="292" t="str">
        <f ca="1">IF(ISERROR($S855),"",OFFSET('Smelter Reference List'!$C$4,$S855-4,0)&amp;"")</f>
        <v/>
      </c>
      <c r="E855" s="292" t="str">
        <f ca="1">IF(ISERROR($S855),"",OFFSET('Smelter Reference List'!$D$4,$S855-4,0)&amp;"")</f>
        <v/>
      </c>
      <c r="F855" s="292" t="str">
        <f ca="1">IF(ISERROR($S855),"",OFFSET('Smelter Reference List'!$E$4,$S855-4,0))</f>
        <v/>
      </c>
      <c r="G855" s="292" t="str">
        <f ca="1">IF(C855=$U$4,"Enter smelter details", IF(ISERROR($S855),"",OFFSET('Smelter Reference List'!$F$4,$S855-4,0)))</f>
        <v/>
      </c>
      <c r="H855" s="293" t="str">
        <f ca="1">IF(ISERROR($S855),"",OFFSET('Smelter Reference List'!$G$4,$S855-4,0))</f>
        <v/>
      </c>
      <c r="I855" s="294" t="str">
        <f ca="1">IF(ISERROR($S855),"",OFFSET('Smelter Reference List'!$H$4,$S855-4,0))</f>
        <v/>
      </c>
      <c r="J855" s="294" t="str">
        <f ca="1">IF(ISERROR($S855),"",OFFSET('Smelter Reference List'!$I$4,$S855-4,0))</f>
        <v/>
      </c>
      <c r="K855" s="295"/>
      <c r="L855" s="295"/>
      <c r="M855" s="295"/>
      <c r="N855" s="295"/>
      <c r="O855" s="295"/>
      <c r="P855" s="295"/>
      <c r="Q855" s="296"/>
      <c r="R855" s="227"/>
      <c r="S855" s="228" t="e">
        <f>IF(C855="",NA(),MATCH($B855&amp;$C855,'Smelter Reference List'!$J:$J,0))</f>
        <v>#N/A</v>
      </c>
      <c r="T855" s="229"/>
      <c r="U855" s="229">
        <f t="shared" ca="1" si="28"/>
        <v>0</v>
      </c>
      <c r="V855" s="229"/>
      <c r="W855" s="229"/>
      <c r="Y855" s="223" t="str">
        <f t="shared" si="29"/>
        <v/>
      </c>
    </row>
    <row r="856" spans="1:25" s="223" customFormat="1" ht="20.25">
      <c r="A856" s="291"/>
      <c r="B856" s="292" t="str">
        <f>IF(LEN(A856)=0,"",INDEX('Smelter Reference List'!$A:$A,MATCH($A856,'Smelter Reference List'!$E:$E,0)))</f>
        <v/>
      </c>
      <c r="C856" s="298" t="str">
        <f>IF(LEN(A856)=0,"",INDEX('Smelter Reference List'!$C:$C,MATCH($A856,'Smelter Reference List'!$E:$E,0)))</f>
        <v/>
      </c>
      <c r="D856" s="292" t="str">
        <f ca="1">IF(ISERROR($S856),"",OFFSET('Smelter Reference List'!$C$4,$S856-4,0)&amp;"")</f>
        <v/>
      </c>
      <c r="E856" s="292" t="str">
        <f ca="1">IF(ISERROR($S856),"",OFFSET('Smelter Reference List'!$D$4,$S856-4,0)&amp;"")</f>
        <v/>
      </c>
      <c r="F856" s="292" t="str">
        <f ca="1">IF(ISERROR($S856),"",OFFSET('Smelter Reference List'!$E$4,$S856-4,0))</f>
        <v/>
      </c>
      <c r="G856" s="292" t="str">
        <f ca="1">IF(C856=$U$4,"Enter smelter details", IF(ISERROR($S856),"",OFFSET('Smelter Reference List'!$F$4,$S856-4,0)))</f>
        <v/>
      </c>
      <c r="H856" s="293" t="str">
        <f ca="1">IF(ISERROR($S856),"",OFFSET('Smelter Reference List'!$G$4,$S856-4,0))</f>
        <v/>
      </c>
      <c r="I856" s="294" t="str">
        <f ca="1">IF(ISERROR($S856),"",OFFSET('Smelter Reference List'!$H$4,$S856-4,0))</f>
        <v/>
      </c>
      <c r="J856" s="294" t="str">
        <f ca="1">IF(ISERROR($S856),"",OFFSET('Smelter Reference List'!$I$4,$S856-4,0))</f>
        <v/>
      </c>
      <c r="K856" s="295"/>
      <c r="L856" s="295"/>
      <c r="M856" s="295"/>
      <c r="N856" s="295"/>
      <c r="O856" s="295"/>
      <c r="P856" s="295"/>
      <c r="Q856" s="296"/>
      <c r="R856" s="227"/>
      <c r="S856" s="228" t="e">
        <f>IF(C856="",NA(),MATCH($B856&amp;$C856,'Smelter Reference List'!$J:$J,0))</f>
        <v>#N/A</v>
      </c>
      <c r="T856" s="229"/>
      <c r="U856" s="229">
        <f t="shared" ca="1" si="28"/>
        <v>0</v>
      </c>
      <c r="V856" s="229"/>
      <c r="W856" s="229"/>
      <c r="Y856" s="223" t="str">
        <f t="shared" si="29"/>
        <v/>
      </c>
    </row>
    <row r="857" spans="1:25" s="223" customFormat="1" ht="20.25">
      <c r="A857" s="291"/>
      <c r="B857" s="292" t="str">
        <f>IF(LEN(A857)=0,"",INDEX('Smelter Reference List'!$A:$A,MATCH($A857,'Smelter Reference List'!$E:$E,0)))</f>
        <v/>
      </c>
      <c r="C857" s="298" t="str">
        <f>IF(LEN(A857)=0,"",INDEX('Smelter Reference List'!$C:$C,MATCH($A857,'Smelter Reference List'!$E:$E,0)))</f>
        <v/>
      </c>
      <c r="D857" s="292" t="str">
        <f ca="1">IF(ISERROR($S857),"",OFFSET('Smelter Reference List'!$C$4,$S857-4,0)&amp;"")</f>
        <v/>
      </c>
      <c r="E857" s="292" t="str">
        <f ca="1">IF(ISERROR($S857),"",OFFSET('Smelter Reference List'!$D$4,$S857-4,0)&amp;"")</f>
        <v/>
      </c>
      <c r="F857" s="292" t="str">
        <f ca="1">IF(ISERROR($S857),"",OFFSET('Smelter Reference List'!$E$4,$S857-4,0))</f>
        <v/>
      </c>
      <c r="G857" s="292" t="str">
        <f ca="1">IF(C857=$U$4,"Enter smelter details", IF(ISERROR($S857),"",OFFSET('Smelter Reference List'!$F$4,$S857-4,0)))</f>
        <v/>
      </c>
      <c r="H857" s="293" t="str">
        <f ca="1">IF(ISERROR($S857),"",OFFSET('Smelter Reference List'!$G$4,$S857-4,0))</f>
        <v/>
      </c>
      <c r="I857" s="294" t="str">
        <f ca="1">IF(ISERROR($S857),"",OFFSET('Smelter Reference List'!$H$4,$S857-4,0))</f>
        <v/>
      </c>
      <c r="J857" s="294" t="str">
        <f ca="1">IF(ISERROR($S857),"",OFFSET('Smelter Reference List'!$I$4,$S857-4,0))</f>
        <v/>
      </c>
      <c r="K857" s="295"/>
      <c r="L857" s="295"/>
      <c r="M857" s="295"/>
      <c r="N857" s="295"/>
      <c r="O857" s="295"/>
      <c r="P857" s="295"/>
      <c r="Q857" s="296"/>
      <c r="R857" s="227"/>
      <c r="S857" s="228" t="e">
        <f>IF(C857="",NA(),MATCH($B857&amp;$C857,'Smelter Reference List'!$J:$J,0))</f>
        <v>#N/A</v>
      </c>
      <c r="T857" s="229"/>
      <c r="U857" s="229">
        <f t="shared" ca="1" si="28"/>
        <v>0</v>
      </c>
      <c r="V857" s="229"/>
      <c r="W857" s="229"/>
      <c r="Y857" s="223" t="str">
        <f t="shared" si="29"/>
        <v/>
      </c>
    </row>
    <row r="858" spans="1:25" s="223" customFormat="1" ht="20.25">
      <c r="A858" s="291"/>
      <c r="B858" s="292" t="str">
        <f>IF(LEN(A858)=0,"",INDEX('Smelter Reference List'!$A:$A,MATCH($A858,'Smelter Reference List'!$E:$E,0)))</f>
        <v/>
      </c>
      <c r="C858" s="298" t="str">
        <f>IF(LEN(A858)=0,"",INDEX('Smelter Reference List'!$C:$C,MATCH($A858,'Smelter Reference List'!$E:$E,0)))</f>
        <v/>
      </c>
      <c r="D858" s="292" t="str">
        <f ca="1">IF(ISERROR($S858),"",OFFSET('Smelter Reference List'!$C$4,$S858-4,0)&amp;"")</f>
        <v/>
      </c>
      <c r="E858" s="292" t="str">
        <f ca="1">IF(ISERROR($S858),"",OFFSET('Smelter Reference List'!$D$4,$S858-4,0)&amp;"")</f>
        <v/>
      </c>
      <c r="F858" s="292" t="str">
        <f ca="1">IF(ISERROR($S858),"",OFFSET('Smelter Reference List'!$E$4,$S858-4,0))</f>
        <v/>
      </c>
      <c r="G858" s="292" t="str">
        <f ca="1">IF(C858=$U$4,"Enter smelter details", IF(ISERROR($S858),"",OFFSET('Smelter Reference List'!$F$4,$S858-4,0)))</f>
        <v/>
      </c>
      <c r="H858" s="293" t="str">
        <f ca="1">IF(ISERROR($S858),"",OFFSET('Smelter Reference List'!$G$4,$S858-4,0))</f>
        <v/>
      </c>
      <c r="I858" s="294" t="str">
        <f ca="1">IF(ISERROR($S858),"",OFFSET('Smelter Reference List'!$H$4,$S858-4,0))</f>
        <v/>
      </c>
      <c r="J858" s="294" t="str">
        <f ca="1">IF(ISERROR($S858),"",OFFSET('Smelter Reference List'!$I$4,$S858-4,0))</f>
        <v/>
      </c>
      <c r="K858" s="295"/>
      <c r="L858" s="295"/>
      <c r="M858" s="295"/>
      <c r="N858" s="295"/>
      <c r="O858" s="295"/>
      <c r="P858" s="295"/>
      <c r="Q858" s="296"/>
      <c r="R858" s="227"/>
      <c r="S858" s="228" t="e">
        <f>IF(C858="",NA(),MATCH($B858&amp;$C858,'Smelter Reference List'!$J:$J,0))</f>
        <v>#N/A</v>
      </c>
      <c r="T858" s="229"/>
      <c r="U858" s="229">
        <f t="shared" ca="1" si="28"/>
        <v>0</v>
      </c>
      <c r="V858" s="229"/>
      <c r="W858" s="229"/>
      <c r="Y858" s="223" t="str">
        <f t="shared" si="29"/>
        <v/>
      </c>
    </row>
    <row r="859" spans="1:25" s="223" customFormat="1" ht="20.25">
      <c r="A859" s="291"/>
      <c r="B859" s="292" t="str">
        <f>IF(LEN(A859)=0,"",INDEX('Smelter Reference List'!$A:$A,MATCH($A859,'Smelter Reference List'!$E:$E,0)))</f>
        <v/>
      </c>
      <c r="C859" s="298" t="str">
        <f>IF(LEN(A859)=0,"",INDEX('Smelter Reference List'!$C:$C,MATCH($A859,'Smelter Reference List'!$E:$E,0)))</f>
        <v/>
      </c>
      <c r="D859" s="292" t="str">
        <f ca="1">IF(ISERROR($S859),"",OFFSET('Smelter Reference List'!$C$4,$S859-4,0)&amp;"")</f>
        <v/>
      </c>
      <c r="E859" s="292" t="str">
        <f ca="1">IF(ISERROR($S859),"",OFFSET('Smelter Reference List'!$D$4,$S859-4,0)&amp;"")</f>
        <v/>
      </c>
      <c r="F859" s="292" t="str">
        <f ca="1">IF(ISERROR($S859),"",OFFSET('Smelter Reference List'!$E$4,$S859-4,0))</f>
        <v/>
      </c>
      <c r="G859" s="292" t="str">
        <f ca="1">IF(C859=$U$4,"Enter smelter details", IF(ISERROR($S859),"",OFFSET('Smelter Reference List'!$F$4,$S859-4,0)))</f>
        <v/>
      </c>
      <c r="H859" s="293" t="str">
        <f ca="1">IF(ISERROR($S859),"",OFFSET('Smelter Reference List'!$G$4,$S859-4,0))</f>
        <v/>
      </c>
      <c r="I859" s="294" t="str">
        <f ca="1">IF(ISERROR($S859),"",OFFSET('Smelter Reference List'!$H$4,$S859-4,0))</f>
        <v/>
      </c>
      <c r="J859" s="294" t="str">
        <f ca="1">IF(ISERROR($S859),"",OFFSET('Smelter Reference List'!$I$4,$S859-4,0))</f>
        <v/>
      </c>
      <c r="K859" s="295"/>
      <c r="L859" s="295"/>
      <c r="M859" s="295"/>
      <c r="N859" s="295"/>
      <c r="O859" s="295"/>
      <c r="P859" s="295"/>
      <c r="Q859" s="296"/>
      <c r="R859" s="227"/>
      <c r="S859" s="228" t="e">
        <f>IF(C859="",NA(),MATCH($B859&amp;$C859,'Smelter Reference List'!$J:$J,0))</f>
        <v>#N/A</v>
      </c>
      <c r="T859" s="229"/>
      <c r="U859" s="229">
        <f t="shared" ca="1" si="28"/>
        <v>0</v>
      </c>
      <c r="V859" s="229"/>
      <c r="W859" s="229"/>
      <c r="Y859" s="223" t="str">
        <f t="shared" si="29"/>
        <v/>
      </c>
    </row>
    <row r="860" spans="1:25" s="223" customFormat="1" ht="20.25">
      <c r="A860" s="291"/>
      <c r="B860" s="292" t="str">
        <f>IF(LEN(A860)=0,"",INDEX('Smelter Reference List'!$A:$A,MATCH($A860,'Smelter Reference List'!$E:$E,0)))</f>
        <v/>
      </c>
      <c r="C860" s="298" t="str">
        <f>IF(LEN(A860)=0,"",INDEX('Smelter Reference List'!$C:$C,MATCH($A860,'Smelter Reference List'!$E:$E,0)))</f>
        <v/>
      </c>
      <c r="D860" s="292" t="str">
        <f ca="1">IF(ISERROR($S860),"",OFFSET('Smelter Reference List'!$C$4,$S860-4,0)&amp;"")</f>
        <v/>
      </c>
      <c r="E860" s="292" t="str">
        <f ca="1">IF(ISERROR($S860),"",OFFSET('Smelter Reference List'!$D$4,$S860-4,0)&amp;"")</f>
        <v/>
      </c>
      <c r="F860" s="292" t="str">
        <f ca="1">IF(ISERROR($S860),"",OFFSET('Smelter Reference List'!$E$4,$S860-4,0))</f>
        <v/>
      </c>
      <c r="G860" s="292" t="str">
        <f ca="1">IF(C860=$U$4,"Enter smelter details", IF(ISERROR($S860),"",OFFSET('Smelter Reference List'!$F$4,$S860-4,0)))</f>
        <v/>
      </c>
      <c r="H860" s="293" t="str">
        <f ca="1">IF(ISERROR($S860),"",OFFSET('Smelter Reference List'!$G$4,$S860-4,0))</f>
        <v/>
      </c>
      <c r="I860" s="294" t="str">
        <f ca="1">IF(ISERROR($S860),"",OFFSET('Smelter Reference List'!$H$4,$S860-4,0))</f>
        <v/>
      </c>
      <c r="J860" s="294" t="str">
        <f ca="1">IF(ISERROR($S860),"",OFFSET('Smelter Reference List'!$I$4,$S860-4,0))</f>
        <v/>
      </c>
      <c r="K860" s="295"/>
      <c r="L860" s="295"/>
      <c r="M860" s="295"/>
      <c r="N860" s="295"/>
      <c r="O860" s="295"/>
      <c r="P860" s="295"/>
      <c r="Q860" s="296"/>
      <c r="R860" s="227"/>
      <c r="S860" s="228" t="e">
        <f>IF(C860="",NA(),MATCH($B860&amp;$C860,'Smelter Reference List'!$J:$J,0))</f>
        <v>#N/A</v>
      </c>
      <c r="T860" s="229"/>
      <c r="U860" s="229">
        <f t="shared" ca="1" si="28"/>
        <v>0</v>
      </c>
      <c r="V860" s="229"/>
      <c r="W860" s="229"/>
      <c r="Y860" s="223" t="str">
        <f t="shared" si="29"/>
        <v/>
      </c>
    </row>
    <row r="861" spans="1:25" s="223" customFormat="1" ht="20.25">
      <c r="A861" s="291"/>
      <c r="B861" s="292" t="str">
        <f>IF(LEN(A861)=0,"",INDEX('Smelter Reference List'!$A:$A,MATCH($A861,'Smelter Reference List'!$E:$E,0)))</f>
        <v/>
      </c>
      <c r="C861" s="298" t="str">
        <f>IF(LEN(A861)=0,"",INDEX('Smelter Reference List'!$C:$C,MATCH($A861,'Smelter Reference List'!$E:$E,0)))</f>
        <v/>
      </c>
      <c r="D861" s="292" t="str">
        <f ca="1">IF(ISERROR($S861),"",OFFSET('Smelter Reference List'!$C$4,$S861-4,0)&amp;"")</f>
        <v/>
      </c>
      <c r="E861" s="292" t="str">
        <f ca="1">IF(ISERROR($S861),"",OFFSET('Smelter Reference List'!$D$4,$S861-4,0)&amp;"")</f>
        <v/>
      </c>
      <c r="F861" s="292" t="str">
        <f ca="1">IF(ISERROR($S861),"",OFFSET('Smelter Reference List'!$E$4,$S861-4,0))</f>
        <v/>
      </c>
      <c r="G861" s="292" t="str">
        <f ca="1">IF(C861=$U$4,"Enter smelter details", IF(ISERROR($S861),"",OFFSET('Smelter Reference List'!$F$4,$S861-4,0)))</f>
        <v/>
      </c>
      <c r="H861" s="293" t="str">
        <f ca="1">IF(ISERROR($S861),"",OFFSET('Smelter Reference List'!$G$4,$S861-4,0))</f>
        <v/>
      </c>
      <c r="I861" s="294" t="str">
        <f ca="1">IF(ISERROR($S861),"",OFFSET('Smelter Reference List'!$H$4,$S861-4,0))</f>
        <v/>
      </c>
      <c r="J861" s="294" t="str">
        <f ca="1">IF(ISERROR($S861),"",OFFSET('Smelter Reference List'!$I$4,$S861-4,0))</f>
        <v/>
      </c>
      <c r="K861" s="295"/>
      <c r="L861" s="295"/>
      <c r="M861" s="295"/>
      <c r="N861" s="295"/>
      <c r="O861" s="295"/>
      <c r="P861" s="295"/>
      <c r="Q861" s="296"/>
      <c r="R861" s="227"/>
      <c r="S861" s="228" t="e">
        <f>IF(C861="",NA(),MATCH($B861&amp;$C861,'Smelter Reference List'!$J:$J,0))</f>
        <v>#N/A</v>
      </c>
      <c r="T861" s="229"/>
      <c r="U861" s="229">
        <f t="shared" ca="1" si="28"/>
        <v>0</v>
      </c>
      <c r="V861" s="229"/>
      <c r="W861" s="229"/>
      <c r="Y861" s="223" t="str">
        <f t="shared" si="29"/>
        <v/>
      </c>
    </row>
    <row r="862" spans="1:25" s="223" customFormat="1" ht="20.25">
      <c r="A862" s="291"/>
      <c r="B862" s="292" t="str">
        <f>IF(LEN(A862)=0,"",INDEX('Smelter Reference List'!$A:$A,MATCH($A862,'Smelter Reference List'!$E:$E,0)))</f>
        <v/>
      </c>
      <c r="C862" s="298" t="str">
        <f>IF(LEN(A862)=0,"",INDEX('Smelter Reference List'!$C:$C,MATCH($A862,'Smelter Reference List'!$E:$E,0)))</f>
        <v/>
      </c>
      <c r="D862" s="292" t="str">
        <f ca="1">IF(ISERROR($S862),"",OFFSET('Smelter Reference List'!$C$4,$S862-4,0)&amp;"")</f>
        <v/>
      </c>
      <c r="E862" s="292" t="str">
        <f ca="1">IF(ISERROR($S862),"",OFFSET('Smelter Reference List'!$D$4,$S862-4,0)&amp;"")</f>
        <v/>
      </c>
      <c r="F862" s="292" t="str">
        <f ca="1">IF(ISERROR($S862),"",OFFSET('Smelter Reference List'!$E$4,$S862-4,0))</f>
        <v/>
      </c>
      <c r="G862" s="292" t="str">
        <f ca="1">IF(C862=$U$4,"Enter smelter details", IF(ISERROR($S862),"",OFFSET('Smelter Reference List'!$F$4,$S862-4,0)))</f>
        <v/>
      </c>
      <c r="H862" s="293" t="str">
        <f ca="1">IF(ISERROR($S862),"",OFFSET('Smelter Reference List'!$G$4,$S862-4,0))</f>
        <v/>
      </c>
      <c r="I862" s="294" t="str">
        <f ca="1">IF(ISERROR($S862),"",OFFSET('Smelter Reference List'!$H$4,$S862-4,0))</f>
        <v/>
      </c>
      <c r="J862" s="294" t="str">
        <f ca="1">IF(ISERROR($S862),"",OFFSET('Smelter Reference List'!$I$4,$S862-4,0))</f>
        <v/>
      </c>
      <c r="K862" s="295"/>
      <c r="L862" s="295"/>
      <c r="M862" s="295"/>
      <c r="N862" s="295"/>
      <c r="O862" s="295"/>
      <c r="P862" s="295"/>
      <c r="Q862" s="296"/>
      <c r="R862" s="227"/>
      <c r="S862" s="228" t="e">
        <f>IF(C862="",NA(),MATCH($B862&amp;$C862,'Smelter Reference List'!$J:$J,0))</f>
        <v>#N/A</v>
      </c>
      <c r="T862" s="229"/>
      <c r="U862" s="229">
        <f t="shared" ca="1" si="28"/>
        <v>0</v>
      </c>
      <c r="V862" s="229"/>
      <c r="W862" s="229"/>
      <c r="Y862" s="223" t="str">
        <f t="shared" si="29"/>
        <v/>
      </c>
    </row>
    <row r="863" spans="1:25" s="223" customFormat="1" ht="20.25">
      <c r="A863" s="291"/>
      <c r="B863" s="292" t="str">
        <f>IF(LEN(A863)=0,"",INDEX('Smelter Reference List'!$A:$A,MATCH($A863,'Smelter Reference List'!$E:$E,0)))</f>
        <v/>
      </c>
      <c r="C863" s="298" t="str">
        <f>IF(LEN(A863)=0,"",INDEX('Smelter Reference List'!$C:$C,MATCH($A863,'Smelter Reference List'!$E:$E,0)))</f>
        <v/>
      </c>
      <c r="D863" s="292" t="str">
        <f ca="1">IF(ISERROR($S863),"",OFFSET('Smelter Reference List'!$C$4,$S863-4,0)&amp;"")</f>
        <v/>
      </c>
      <c r="E863" s="292" t="str">
        <f ca="1">IF(ISERROR($S863),"",OFFSET('Smelter Reference List'!$D$4,$S863-4,0)&amp;"")</f>
        <v/>
      </c>
      <c r="F863" s="292" t="str">
        <f ca="1">IF(ISERROR($S863),"",OFFSET('Smelter Reference List'!$E$4,$S863-4,0))</f>
        <v/>
      </c>
      <c r="G863" s="292" t="str">
        <f ca="1">IF(C863=$U$4,"Enter smelter details", IF(ISERROR($S863),"",OFFSET('Smelter Reference List'!$F$4,$S863-4,0)))</f>
        <v/>
      </c>
      <c r="H863" s="293" t="str">
        <f ca="1">IF(ISERROR($S863),"",OFFSET('Smelter Reference List'!$G$4,$S863-4,0))</f>
        <v/>
      </c>
      <c r="I863" s="294" t="str">
        <f ca="1">IF(ISERROR($S863),"",OFFSET('Smelter Reference List'!$H$4,$S863-4,0))</f>
        <v/>
      </c>
      <c r="J863" s="294" t="str">
        <f ca="1">IF(ISERROR($S863),"",OFFSET('Smelter Reference List'!$I$4,$S863-4,0))</f>
        <v/>
      </c>
      <c r="K863" s="295"/>
      <c r="L863" s="295"/>
      <c r="M863" s="295"/>
      <c r="N863" s="295"/>
      <c r="O863" s="295"/>
      <c r="P863" s="295"/>
      <c r="Q863" s="296"/>
      <c r="R863" s="227"/>
      <c r="S863" s="228" t="e">
        <f>IF(C863="",NA(),MATCH($B863&amp;$C863,'Smelter Reference List'!$J:$J,0))</f>
        <v>#N/A</v>
      </c>
      <c r="T863" s="229"/>
      <c r="U863" s="229">
        <f t="shared" ca="1" si="28"/>
        <v>0</v>
      </c>
      <c r="V863" s="229"/>
      <c r="W863" s="229"/>
      <c r="Y863" s="223" t="str">
        <f t="shared" si="29"/>
        <v/>
      </c>
    </row>
    <row r="864" spans="1:25" s="223" customFormat="1" ht="20.25">
      <c r="A864" s="291"/>
      <c r="B864" s="292" t="str">
        <f>IF(LEN(A864)=0,"",INDEX('Smelter Reference List'!$A:$A,MATCH($A864,'Smelter Reference List'!$E:$E,0)))</f>
        <v/>
      </c>
      <c r="C864" s="298" t="str">
        <f>IF(LEN(A864)=0,"",INDEX('Smelter Reference List'!$C:$C,MATCH($A864,'Smelter Reference List'!$E:$E,0)))</f>
        <v/>
      </c>
      <c r="D864" s="292" t="str">
        <f ca="1">IF(ISERROR($S864),"",OFFSET('Smelter Reference List'!$C$4,$S864-4,0)&amp;"")</f>
        <v/>
      </c>
      <c r="E864" s="292" t="str">
        <f ca="1">IF(ISERROR($S864),"",OFFSET('Smelter Reference List'!$D$4,$S864-4,0)&amp;"")</f>
        <v/>
      </c>
      <c r="F864" s="292" t="str">
        <f ca="1">IF(ISERROR($S864),"",OFFSET('Smelter Reference List'!$E$4,$S864-4,0))</f>
        <v/>
      </c>
      <c r="G864" s="292" t="str">
        <f ca="1">IF(C864=$U$4,"Enter smelter details", IF(ISERROR($S864),"",OFFSET('Smelter Reference List'!$F$4,$S864-4,0)))</f>
        <v/>
      </c>
      <c r="H864" s="293" t="str">
        <f ca="1">IF(ISERROR($S864),"",OFFSET('Smelter Reference List'!$G$4,$S864-4,0))</f>
        <v/>
      </c>
      <c r="I864" s="294" t="str">
        <f ca="1">IF(ISERROR($S864),"",OFFSET('Smelter Reference List'!$H$4,$S864-4,0))</f>
        <v/>
      </c>
      <c r="J864" s="294" t="str">
        <f ca="1">IF(ISERROR($S864),"",OFFSET('Smelter Reference List'!$I$4,$S864-4,0))</f>
        <v/>
      </c>
      <c r="K864" s="295"/>
      <c r="L864" s="295"/>
      <c r="M864" s="295"/>
      <c r="N864" s="295"/>
      <c r="O864" s="295"/>
      <c r="P864" s="295"/>
      <c r="Q864" s="296"/>
      <c r="R864" s="227"/>
      <c r="S864" s="228" t="e">
        <f>IF(C864="",NA(),MATCH($B864&amp;$C864,'Smelter Reference List'!$J:$J,0))</f>
        <v>#N/A</v>
      </c>
      <c r="T864" s="229"/>
      <c r="U864" s="229">
        <f t="shared" ca="1" si="28"/>
        <v>0</v>
      </c>
      <c r="V864" s="229"/>
      <c r="W864" s="229"/>
      <c r="Y864" s="223" t="str">
        <f t="shared" si="29"/>
        <v/>
      </c>
    </row>
    <row r="865" spans="1:25" s="223" customFormat="1" ht="20.25">
      <c r="A865" s="291"/>
      <c r="B865" s="292" t="str">
        <f>IF(LEN(A865)=0,"",INDEX('Smelter Reference List'!$A:$A,MATCH($A865,'Smelter Reference List'!$E:$E,0)))</f>
        <v/>
      </c>
      <c r="C865" s="298" t="str">
        <f>IF(LEN(A865)=0,"",INDEX('Smelter Reference List'!$C:$C,MATCH($A865,'Smelter Reference List'!$E:$E,0)))</f>
        <v/>
      </c>
      <c r="D865" s="292" t="str">
        <f ca="1">IF(ISERROR($S865),"",OFFSET('Smelter Reference List'!$C$4,$S865-4,0)&amp;"")</f>
        <v/>
      </c>
      <c r="E865" s="292" t="str">
        <f ca="1">IF(ISERROR($S865),"",OFFSET('Smelter Reference List'!$D$4,$S865-4,0)&amp;"")</f>
        <v/>
      </c>
      <c r="F865" s="292" t="str">
        <f ca="1">IF(ISERROR($S865),"",OFFSET('Smelter Reference List'!$E$4,$S865-4,0))</f>
        <v/>
      </c>
      <c r="G865" s="292" t="str">
        <f ca="1">IF(C865=$U$4,"Enter smelter details", IF(ISERROR($S865),"",OFFSET('Smelter Reference List'!$F$4,$S865-4,0)))</f>
        <v/>
      </c>
      <c r="H865" s="293" t="str">
        <f ca="1">IF(ISERROR($S865),"",OFFSET('Smelter Reference List'!$G$4,$S865-4,0))</f>
        <v/>
      </c>
      <c r="I865" s="294" t="str">
        <f ca="1">IF(ISERROR($S865),"",OFFSET('Smelter Reference List'!$H$4,$S865-4,0))</f>
        <v/>
      </c>
      <c r="J865" s="294" t="str">
        <f ca="1">IF(ISERROR($S865),"",OFFSET('Smelter Reference List'!$I$4,$S865-4,0))</f>
        <v/>
      </c>
      <c r="K865" s="295"/>
      <c r="L865" s="295"/>
      <c r="M865" s="295"/>
      <c r="N865" s="295"/>
      <c r="O865" s="295"/>
      <c r="P865" s="295"/>
      <c r="Q865" s="296"/>
      <c r="R865" s="227"/>
      <c r="S865" s="228" t="e">
        <f>IF(C865="",NA(),MATCH($B865&amp;$C865,'Smelter Reference List'!$J:$J,0))</f>
        <v>#N/A</v>
      </c>
      <c r="T865" s="229"/>
      <c r="U865" s="229">
        <f t="shared" ca="1" si="28"/>
        <v>0</v>
      </c>
      <c r="V865" s="229"/>
      <c r="W865" s="229"/>
      <c r="Y865" s="223" t="str">
        <f t="shared" si="29"/>
        <v/>
      </c>
    </row>
    <row r="866" spans="1:25" s="223" customFormat="1" ht="20.25">
      <c r="A866" s="291"/>
      <c r="B866" s="292" t="str">
        <f>IF(LEN(A866)=0,"",INDEX('Smelter Reference List'!$A:$A,MATCH($A866,'Smelter Reference List'!$E:$E,0)))</f>
        <v/>
      </c>
      <c r="C866" s="298" t="str">
        <f>IF(LEN(A866)=0,"",INDEX('Smelter Reference List'!$C:$C,MATCH($A866,'Smelter Reference List'!$E:$E,0)))</f>
        <v/>
      </c>
      <c r="D866" s="292" t="str">
        <f ca="1">IF(ISERROR($S866),"",OFFSET('Smelter Reference List'!$C$4,$S866-4,0)&amp;"")</f>
        <v/>
      </c>
      <c r="E866" s="292" t="str">
        <f ca="1">IF(ISERROR($S866),"",OFFSET('Smelter Reference List'!$D$4,$S866-4,0)&amp;"")</f>
        <v/>
      </c>
      <c r="F866" s="292" t="str">
        <f ca="1">IF(ISERROR($S866),"",OFFSET('Smelter Reference List'!$E$4,$S866-4,0))</f>
        <v/>
      </c>
      <c r="G866" s="292" t="str">
        <f ca="1">IF(C866=$U$4,"Enter smelter details", IF(ISERROR($S866),"",OFFSET('Smelter Reference List'!$F$4,$S866-4,0)))</f>
        <v/>
      </c>
      <c r="H866" s="293" t="str">
        <f ca="1">IF(ISERROR($S866),"",OFFSET('Smelter Reference List'!$G$4,$S866-4,0))</f>
        <v/>
      </c>
      <c r="I866" s="294" t="str">
        <f ca="1">IF(ISERROR($S866),"",OFFSET('Smelter Reference List'!$H$4,$S866-4,0))</f>
        <v/>
      </c>
      <c r="J866" s="294" t="str">
        <f ca="1">IF(ISERROR($S866),"",OFFSET('Smelter Reference List'!$I$4,$S866-4,0))</f>
        <v/>
      </c>
      <c r="K866" s="295"/>
      <c r="L866" s="295"/>
      <c r="M866" s="295"/>
      <c r="N866" s="295"/>
      <c r="O866" s="295"/>
      <c r="P866" s="295"/>
      <c r="Q866" s="296"/>
      <c r="R866" s="227"/>
      <c r="S866" s="228" t="e">
        <f>IF(C866="",NA(),MATCH($B866&amp;$C866,'Smelter Reference List'!$J:$J,0))</f>
        <v>#N/A</v>
      </c>
      <c r="T866" s="229"/>
      <c r="U866" s="229">
        <f t="shared" ca="1" si="28"/>
        <v>0</v>
      </c>
      <c r="V866" s="229"/>
      <c r="W866" s="229"/>
      <c r="Y866" s="223" t="str">
        <f t="shared" si="29"/>
        <v/>
      </c>
    </row>
    <row r="867" spans="1:25" s="223" customFormat="1" ht="20.25">
      <c r="A867" s="291"/>
      <c r="B867" s="292" t="str">
        <f>IF(LEN(A867)=0,"",INDEX('Smelter Reference List'!$A:$A,MATCH($A867,'Smelter Reference List'!$E:$E,0)))</f>
        <v/>
      </c>
      <c r="C867" s="298" t="str">
        <f>IF(LEN(A867)=0,"",INDEX('Smelter Reference List'!$C:$C,MATCH($A867,'Smelter Reference List'!$E:$E,0)))</f>
        <v/>
      </c>
      <c r="D867" s="292" t="str">
        <f ca="1">IF(ISERROR($S867),"",OFFSET('Smelter Reference List'!$C$4,$S867-4,0)&amp;"")</f>
        <v/>
      </c>
      <c r="E867" s="292" t="str">
        <f ca="1">IF(ISERROR($S867),"",OFFSET('Smelter Reference List'!$D$4,$S867-4,0)&amp;"")</f>
        <v/>
      </c>
      <c r="F867" s="292" t="str">
        <f ca="1">IF(ISERROR($S867),"",OFFSET('Smelter Reference List'!$E$4,$S867-4,0))</f>
        <v/>
      </c>
      <c r="G867" s="292" t="str">
        <f ca="1">IF(C867=$U$4,"Enter smelter details", IF(ISERROR($S867),"",OFFSET('Smelter Reference List'!$F$4,$S867-4,0)))</f>
        <v/>
      </c>
      <c r="H867" s="293" t="str">
        <f ca="1">IF(ISERROR($S867),"",OFFSET('Smelter Reference List'!$G$4,$S867-4,0))</f>
        <v/>
      </c>
      <c r="I867" s="294" t="str">
        <f ca="1">IF(ISERROR($S867),"",OFFSET('Smelter Reference List'!$H$4,$S867-4,0))</f>
        <v/>
      </c>
      <c r="J867" s="294" t="str">
        <f ca="1">IF(ISERROR($S867),"",OFFSET('Smelter Reference List'!$I$4,$S867-4,0))</f>
        <v/>
      </c>
      <c r="K867" s="295"/>
      <c r="L867" s="295"/>
      <c r="M867" s="295"/>
      <c r="N867" s="295"/>
      <c r="O867" s="295"/>
      <c r="P867" s="295"/>
      <c r="Q867" s="296"/>
      <c r="R867" s="227"/>
      <c r="S867" s="228" t="e">
        <f>IF(C867="",NA(),MATCH($B867&amp;$C867,'Smelter Reference List'!$J:$J,0))</f>
        <v>#N/A</v>
      </c>
      <c r="T867" s="229"/>
      <c r="U867" s="229">
        <f t="shared" ca="1" si="28"/>
        <v>0</v>
      </c>
      <c r="V867" s="229"/>
      <c r="W867" s="229"/>
      <c r="Y867" s="223" t="str">
        <f t="shared" si="29"/>
        <v/>
      </c>
    </row>
    <row r="868" spans="1:25" s="223" customFormat="1" ht="20.25">
      <c r="A868" s="291"/>
      <c r="B868" s="292" t="str">
        <f>IF(LEN(A868)=0,"",INDEX('Smelter Reference List'!$A:$A,MATCH($A868,'Smelter Reference List'!$E:$E,0)))</f>
        <v/>
      </c>
      <c r="C868" s="298" t="str">
        <f>IF(LEN(A868)=0,"",INDEX('Smelter Reference List'!$C:$C,MATCH($A868,'Smelter Reference List'!$E:$E,0)))</f>
        <v/>
      </c>
      <c r="D868" s="292" t="str">
        <f ca="1">IF(ISERROR($S868),"",OFFSET('Smelter Reference List'!$C$4,$S868-4,0)&amp;"")</f>
        <v/>
      </c>
      <c r="E868" s="292" t="str">
        <f ca="1">IF(ISERROR($S868),"",OFFSET('Smelter Reference List'!$D$4,$S868-4,0)&amp;"")</f>
        <v/>
      </c>
      <c r="F868" s="292" t="str">
        <f ca="1">IF(ISERROR($S868),"",OFFSET('Smelter Reference List'!$E$4,$S868-4,0))</f>
        <v/>
      </c>
      <c r="G868" s="292" t="str">
        <f ca="1">IF(C868=$U$4,"Enter smelter details", IF(ISERROR($S868),"",OFFSET('Smelter Reference List'!$F$4,$S868-4,0)))</f>
        <v/>
      </c>
      <c r="H868" s="293" t="str">
        <f ca="1">IF(ISERROR($S868),"",OFFSET('Smelter Reference List'!$G$4,$S868-4,0))</f>
        <v/>
      </c>
      <c r="I868" s="294" t="str">
        <f ca="1">IF(ISERROR($S868),"",OFFSET('Smelter Reference List'!$H$4,$S868-4,0))</f>
        <v/>
      </c>
      <c r="J868" s="294" t="str">
        <f ca="1">IF(ISERROR($S868),"",OFFSET('Smelter Reference List'!$I$4,$S868-4,0))</f>
        <v/>
      </c>
      <c r="K868" s="295"/>
      <c r="L868" s="295"/>
      <c r="M868" s="295"/>
      <c r="N868" s="295"/>
      <c r="O868" s="295"/>
      <c r="P868" s="295"/>
      <c r="Q868" s="296"/>
      <c r="R868" s="227"/>
      <c r="S868" s="228" t="e">
        <f>IF(C868="",NA(),MATCH($B868&amp;$C868,'Smelter Reference List'!$J:$J,0))</f>
        <v>#N/A</v>
      </c>
      <c r="T868" s="229"/>
      <c r="U868" s="229">
        <f t="shared" ca="1" si="28"/>
        <v>0</v>
      </c>
      <c r="V868" s="229"/>
      <c r="W868" s="229"/>
      <c r="Y868" s="223" t="str">
        <f t="shared" si="29"/>
        <v/>
      </c>
    </row>
    <row r="869" spans="1:25" s="223" customFormat="1" ht="20.25">
      <c r="A869" s="291"/>
      <c r="B869" s="292" t="str">
        <f>IF(LEN(A869)=0,"",INDEX('Smelter Reference List'!$A:$A,MATCH($A869,'Smelter Reference List'!$E:$E,0)))</f>
        <v/>
      </c>
      <c r="C869" s="298" t="str">
        <f>IF(LEN(A869)=0,"",INDEX('Smelter Reference List'!$C:$C,MATCH($A869,'Smelter Reference List'!$E:$E,0)))</f>
        <v/>
      </c>
      <c r="D869" s="292" t="str">
        <f ca="1">IF(ISERROR($S869),"",OFFSET('Smelter Reference List'!$C$4,$S869-4,0)&amp;"")</f>
        <v/>
      </c>
      <c r="E869" s="292" t="str">
        <f ca="1">IF(ISERROR($S869),"",OFFSET('Smelter Reference List'!$D$4,$S869-4,0)&amp;"")</f>
        <v/>
      </c>
      <c r="F869" s="292" t="str">
        <f ca="1">IF(ISERROR($S869),"",OFFSET('Smelter Reference List'!$E$4,$S869-4,0))</f>
        <v/>
      </c>
      <c r="G869" s="292" t="str">
        <f ca="1">IF(C869=$U$4,"Enter smelter details", IF(ISERROR($S869),"",OFFSET('Smelter Reference List'!$F$4,$S869-4,0)))</f>
        <v/>
      </c>
      <c r="H869" s="293" t="str">
        <f ca="1">IF(ISERROR($S869),"",OFFSET('Smelter Reference List'!$G$4,$S869-4,0))</f>
        <v/>
      </c>
      <c r="I869" s="294" t="str">
        <f ca="1">IF(ISERROR($S869),"",OFFSET('Smelter Reference List'!$H$4,$S869-4,0))</f>
        <v/>
      </c>
      <c r="J869" s="294" t="str">
        <f ca="1">IF(ISERROR($S869),"",OFFSET('Smelter Reference List'!$I$4,$S869-4,0))</f>
        <v/>
      </c>
      <c r="K869" s="295"/>
      <c r="L869" s="295"/>
      <c r="M869" s="295"/>
      <c r="N869" s="295"/>
      <c r="O869" s="295"/>
      <c r="P869" s="295"/>
      <c r="Q869" s="296"/>
      <c r="R869" s="227"/>
      <c r="S869" s="228" t="e">
        <f>IF(C869="",NA(),MATCH($B869&amp;$C869,'Smelter Reference List'!$J:$J,0))</f>
        <v>#N/A</v>
      </c>
      <c r="T869" s="229"/>
      <c r="U869" s="229">
        <f t="shared" ca="1" si="28"/>
        <v>0</v>
      </c>
      <c r="V869" s="229"/>
      <c r="W869" s="229"/>
      <c r="Y869" s="223" t="str">
        <f t="shared" si="29"/>
        <v/>
      </c>
    </row>
    <row r="870" spans="1:25" s="223" customFormat="1" ht="20.25">
      <c r="A870" s="291"/>
      <c r="B870" s="292" t="str">
        <f>IF(LEN(A870)=0,"",INDEX('Smelter Reference List'!$A:$A,MATCH($A870,'Smelter Reference List'!$E:$E,0)))</f>
        <v/>
      </c>
      <c r="C870" s="298" t="str">
        <f>IF(LEN(A870)=0,"",INDEX('Smelter Reference List'!$C:$C,MATCH($A870,'Smelter Reference List'!$E:$E,0)))</f>
        <v/>
      </c>
      <c r="D870" s="292" t="str">
        <f ca="1">IF(ISERROR($S870),"",OFFSET('Smelter Reference List'!$C$4,$S870-4,0)&amp;"")</f>
        <v/>
      </c>
      <c r="E870" s="292" t="str">
        <f ca="1">IF(ISERROR($S870),"",OFFSET('Smelter Reference List'!$D$4,$S870-4,0)&amp;"")</f>
        <v/>
      </c>
      <c r="F870" s="292" t="str">
        <f ca="1">IF(ISERROR($S870),"",OFFSET('Smelter Reference List'!$E$4,$S870-4,0))</f>
        <v/>
      </c>
      <c r="G870" s="292" t="str">
        <f ca="1">IF(C870=$U$4,"Enter smelter details", IF(ISERROR($S870),"",OFFSET('Smelter Reference List'!$F$4,$S870-4,0)))</f>
        <v/>
      </c>
      <c r="H870" s="293" t="str">
        <f ca="1">IF(ISERROR($S870),"",OFFSET('Smelter Reference List'!$G$4,$S870-4,0))</f>
        <v/>
      </c>
      <c r="I870" s="294" t="str">
        <f ca="1">IF(ISERROR($S870),"",OFFSET('Smelter Reference List'!$H$4,$S870-4,0))</f>
        <v/>
      </c>
      <c r="J870" s="294" t="str">
        <f ca="1">IF(ISERROR($S870),"",OFFSET('Smelter Reference List'!$I$4,$S870-4,0))</f>
        <v/>
      </c>
      <c r="K870" s="295"/>
      <c r="L870" s="295"/>
      <c r="M870" s="295"/>
      <c r="N870" s="295"/>
      <c r="O870" s="295"/>
      <c r="P870" s="295"/>
      <c r="Q870" s="296"/>
      <c r="R870" s="227"/>
      <c r="S870" s="228" t="e">
        <f>IF(C870="",NA(),MATCH($B870&amp;$C870,'Smelter Reference List'!$J:$J,0))</f>
        <v>#N/A</v>
      </c>
      <c r="T870" s="229"/>
      <c r="U870" s="229">
        <f t="shared" ca="1" si="28"/>
        <v>0</v>
      </c>
      <c r="V870" s="229"/>
      <c r="W870" s="229"/>
      <c r="Y870" s="223" t="str">
        <f t="shared" si="29"/>
        <v/>
      </c>
    </row>
    <row r="871" spans="1:25" s="223" customFormat="1" ht="20.25">
      <c r="A871" s="291"/>
      <c r="B871" s="292" t="str">
        <f>IF(LEN(A871)=0,"",INDEX('Smelter Reference List'!$A:$A,MATCH($A871,'Smelter Reference List'!$E:$E,0)))</f>
        <v/>
      </c>
      <c r="C871" s="298" t="str">
        <f>IF(LEN(A871)=0,"",INDEX('Smelter Reference List'!$C:$C,MATCH($A871,'Smelter Reference List'!$E:$E,0)))</f>
        <v/>
      </c>
      <c r="D871" s="292" t="str">
        <f ca="1">IF(ISERROR($S871),"",OFFSET('Smelter Reference List'!$C$4,$S871-4,0)&amp;"")</f>
        <v/>
      </c>
      <c r="E871" s="292" t="str">
        <f ca="1">IF(ISERROR($S871),"",OFFSET('Smelter Reference List'!$D$4,$S871-4,0)&amp;"")</f>
        <v/>
      </c>
      <c r="F871" s="292" t="str">
        <f ca="1">IF(ISERROR($S871),"",OFFSET('Smelter Reference List'!$E$4,$S871-4,0))</f>
        <v/>
      </c>
      <c r="G871" s="292" t="str">
        <f ca="1">IF(C871=$U$4,"Enter smelter details", IF(ISERROR($S871),"",OFFSET('Smelter Reference List'!$F$4,$S871-4,0)))</f>
        <v/>
      </c>
      <c r="H871" s="293" t="str">
        <f ca="1">IF(ISERROR($S871),"",OFFSET('Smelter Reference List'!$G$4,$S871-4,0))</f>
        <v/>
      </c>
      <c r="I871" s="294" t="str">
        <f ca="1">IF(ISERROR($S871),"",OFFSET('Smelter Reference List'!$H$4,$S871-4,0))</f>
        <v/>
      </c>
      <c r="J871" s="294" t="str">
        <f ca="1">IF(ISERROR($S871),"",OFFSET('Smelter Reference List'!$I$4,$S871-4,0))</f>
        <v/>
      </c>
      <c r="K871" s="295"/>
      <c r="L871" s="295"/>
      <c r="M871" s="295"/>
      <c r="N871" s="295"/>
      <c r="O871" s="295"/>
      <c r="P871" s="295"/>
      <c r="Q871" s="296"/>
      <c r="R871" s="227"/>
      <c r="S871" s="228" t="e">
        <f>IF(C871="",NA(),MATCH($B871&amp;$C871,'Smelter Reference List'!$J:$J,0))</f>
        <v>#N/A</v>
      </c>
      <c r="T871" s="229"/>
      <c r="U871" s="229">
        <f t="shared" ca="1" si="28"/>
        <v>0</v>
      </c>
      <c r="V871" s="229"/>
      <c r="W871" s="229"/>
      <c r="Y871" s="223" t="str">
        <f t="shared" si="29"/>
        <v/>
      </c>
    </row>
    <row r="872" spans="1:25" s="223" customFormat="1" ht="20.25">
      <c r="A872" s="291"/>
      <c r="B872" s="292" t="str">
        <f>IF(LEN(A872)=0,"",INDEX('Smelter Reference List'!$A:$A,MATCH($A872,'Smelter Reference List'!$E:$E,0)))</f>
        <v/>
      </c>
      <c r="C872" s="298" t="str">
        <f>IF(LEN(A872)=0,"",INDEX('Smelter Reference List'!$C:$C,MATCH($A872,'Smelter Reference List'!$E:$E,0)))</f>
        <v/>
      </c>
      <c r="D872" s="292" t="str">
        <f ca="1">IF(ISERROR($S872),"",OFFSET('Smelter Reference List'!$C$4,$S872-4,0)&amp;"")</f>
        <v/>
      </c>
      <c r="E872" s="292" t="str">
        <f ca="1">IF(ISERROR($S872),"",OFFSET('Smelter Reference List'!$D$4,$S872-4,0)&amp;"")</f>
        <v/>
      </c>
      <c r="F872" s="292" t="str">
        <f ca="1">IF(ISERROR($S872),"",OFFSET('Smelter Reference List'!$E$4,$S872-4,0))</f>
        <v/>
      </c>
      <c r="G872" s="292" t="str">
        <f ca="1">IF(C872=$U$4,"Enter smelter details", IF(ISERROR($S872),"",OFFSET('Smelter Reference List'!$F$4,$S872-4,0)))</f>
        <v/>
      </c>
      <c r="H872" s="293" t="str">
        <f ca="1">IF(ISERROR($S872),"",OFFSET('Smelter Reference List'!$G$4,$S872-4,0))</f>
        <v/>
      </c>
      <c r="I872" s="294" t="str">
        <f ca="1">IF(ISERROR($S872),"",OFFSET('Smelter Reference List'!$H$4,$S872-4,0))</f>
        <v/>
      </c>
      <c r="J872" s="294" t="str">
        <f ca="1">IF(ISERROR($S872),"",OFFSET('Smelter Reference List'!$I$4,$S872-4,0))</f>
        <v/>
      </c>
      <c r="K872" s="295"/>
      <c r="L872" s="295"/>
      <c r="M872" s="295"/>
      <c r="N872" s="295"/>
      <c r="O872" s="295"/>
      <c r="P872" s="295"/>
      <c r="Q872" s="296"/>
      <c r="R872" s="227"/>
      <c r="S872" s="228" t="e">
        <f>IF(C872="",NA(),MATCH($B872&amp;$C872,'Smelter Reference List'!$J:$J,0))</f>
        <v>#N/A</v>
      </c>
      <c r="T872" s="229"/>
      <c r="U872" s="229">
        <f t="shared" ca="1" si="28"/>
        <v>0</v>
      </c>
      <c r="V872" s="229"/>
      <c r="W872" s="229"/>
      <c r="Y872" s="223" t="str">
        <f t="shared" si="29"/>
        <v/>
      </c>
    </row>
    <row r="873" spans="1:25" s="223" customFormat="1" ht="20.25">
      <c r="A873" s="291"/>
      <c r="B873" s="292" t="str">
        <f>IF(LEN(A873)=0,"",INDEX('Smelter Reference List'!$A:$A,MATCH($A873,'Smelter Reference List'!$E:$E,0)))</f>
        <v/>
      </c>
      <c r="C873" s="298" t="str">
        <f>IF(LEN(A873)=0,"",INDEX('Smelter Reference List'!$C:$C,MATCH($A873,'Smelter Reference List'!$E:$E,0)))</f>
        <v/>
      </c>
      <c r="D873" s="292" t="str">
        <f ca="1">IF(ISERROR($S873),"",OFFSET('Smelter Reference List'!$C$4,$S873-4,0)&amp;"")</f>
        <v/>
      </c>
      <c r="E873" s="292" t="str">
        <f ca="1">IF(ISERROR($S873),"",OFFSET('Smelter Reference List'!$D$4,$S873-4,0)&amp;"")</f>
        <v/>
      </c>
      <c r="F873" s="292" t="str">
        <f ca="1">IF(ISERROR($S873),"",OFFSET('Smelter Reference List'!$E$4,$S873-4,0))</f>
        <v/>
      </c>
      <c r="G873" s="292" t="str">
        <f ca="1">IF(C873=$U$4,"Enter smelter details", IF(ISERROR($S873),"",OFFSET('Smelter Reference List'!$F$4,$S873-4,0)))</f>
        <v/>
      </c>
      <c r="H873" s="293" t="str">
        <f ca="1">IF(ISERROR($S873),"",OFFSET('Smelter Reference List'!$G$4,$S873-4,0))</f>
        <v/>
      </c>
      <c r="I873" s="294" t="str">
        <f ca="1">IF(ISERROR($S873),"",OFFSET('Smelter Reference List'!$H$4,$S873-4,0))</f>
        <v/>
      </c>
      <c r="J873" s="294" t="str">
        <f ca="1">IF(ISERROR($S873),"",OFFSET('Smelter Reference List'!$I$4,$S873-4,0))</f>
        <v/>
      </c>
      <c r="K873" s="295"/>
      <c r="L873" s="295"/>
      <c r="M873" s="295"/>
      <c r="N873" s="295"/>
      <c r="O873" s="295"/>
      <c r="P873" s="295"/>
      <c r="Q873" s="296"/>
      <c r="R873" s="227"/>
      <c r="S873" s="228" t="e">
        <f>IF(C873="",NA(),MATCH($B873&amp;$C873,'Smelter Reference List'!$J:$J,0))</f>
        <v>#N/A</v>
      </c>
      <c r="T873" s="229"/>
      <c r="U873" s="229">
        <f t="shared" ca="1" si="28"/>
        <v>0</v>
      </c>
      <c r="V873" s="229"/>
      <c r="W873" s="229"/>
      <c r="Y873" s="223" t="str">
        <f t="shared" si="29"/>
        <v/>
      </c>
    </row>
    <row r="874" spans="1:25" s="223" customFormat="1" ht="20.25">
      <c r="A874" s="291"/>
      <c r="B874" s="292" t="str">
        <f>IF(LEN(A874)=0,"",INDEX('Smelter Reference List'!$A:$A,MATCH($A874,'Smelter Reference List'!$E:$E,0)))</f>
        <v/>
      </c>
      <c r="C874" s="298" t="str">
        <f>IF(LEN(A874)=0,"",INDEX('Smelter Reference List'!$C:$C,MATCH($A874,'Smelter Reference List'!$E:$E,0)))</f>
        <v/>
      </c>
      <c r="D874" s="292" t="str">
        <f ca="1">IF(ISERROR($S874),"",OFFSET('Smelter Reference List'!$C$4,$S874-4,0)&amp;"")</f>
        <v/>
      </c>
      <c r="E874" s="292" t="str">
        <f ca="1">IF(ISERROR($S874),"",OFFSET('Smelter Reference List'!$D$4,$S874-4,0)&amp;"")</f>
        <v/>
      </c>
      <c r="F874" s="292" t="str">
        <f ca="1">IF(ISERROR($S874),"",OFFSET('Smelter Reference List'!$E$4,$S874-4,0))</f>
        <v/>
      </c>
      <c r="G874" s="292" t="str">
        <f ca="1">IF(C874=$U$4,"Enter smelter details", IF(ISERROR($S874),"",OFFSET('Smelter Reference List'!$F$4,$S874-4,0)))</f>
        <v/>
      </c>
      <c r="H874" s="293" t="str">
        <f ca="1">IF(ISERROR($S874),"",OFFSET('Smelter Reference List'!$G$4,$S874-4,0))</f>
        <v/>
      </c>
      <c r="I874" s="294" t="str">
        <f ca="1">IF(ISERROR($S874),"",OFFSET('Smelter Reference List'!$H$4,$S874-4,0))</f>
        <v/>
      </c>
      <c r="J874" s="294" t="str">
        <f ca="1">IF(ISERROR($S874),"",OFFSET('Smelter Reference List'!$I$4,$S874-4,0))</f>
        <v/>
      </c>
      <c r="K874" s="295"/>
      <c r="L874" s="295"/>
      <c r="M874" s="295"/>
      <c r="N874" s="295"/>
      <c r="O874" s="295"/>
      <c r="P874" s="295"/>
      <c r="Q874" s="296"/>
      <c r="R874" s="227"/>
      <c r="S874" s="228" t="e">
        <f>IF(C874="",NA(),MATCH($B874&amp;$C874,'Smelter Reference List'!$J:$J,0))</f>
        <v>#N/A</v>
      </c>
      <c r="T874" s="229"/>
      <c r="U874" s="229">
        <f t="shared" ca="1" si="28"/>
        <v>0</v>
      </c>
      <c r="V874" s="229"/>
      <c r="W874" s="229"/>
      <c r="Y874" s="223" t="str">
        <f t="shared" si="29"/>
        <v/>
      </c>
    </row>
    <row r="875" spans="1:25" s="223" customFormat="1" ht="20.25">
      <c r="A875" s="291"/>
      <c r="B875" s="292" t="str">
        <f>IF(LEN(A875)=0,"",INDEX('Smelter Reference List'!$A:$A,MATCH($A875,'Smelter Reference List'!$E:$E,0)))</f>
        <v/>
      </c>
      <c r="C875" s="298" t="str">
        <f>IF(LEN(A875)=0,"",INDEX('Smelter Reference List'!$C:$C,MATCH($A875,'Smelter Reference List'!$E:$E,0)))</f>
        <v/>
      </c>
      <c r="D875" s="292" t="str">
        <f ca="1">IF(ISERROR($S875),"",OFFSET('Smelter Reference List'!$C$4,$S875-4,0)&amp;"")</f>
        <v/>
      </c>
      <c r="E875" s="292" t="str">
        <f ca="1">IF(ISERROR($S875),"",OFFSET('Smelter Reference List'!$D$4,$S875-4,0)&amp;"")</f>
        <v/>
      </c>
      <c r="F875" s="292" t="str">
        <f ca="1">IF(ISERROR($S875),"",OFFSET('Smelter Reference List'!$E$4,$S875-4,0))</f>
        <v/>
      </c>
      <c r="G875" s="292" t="str">
        <f ca="1">IF(C875=$U$4,"Enter smelter details", IF(ISERROR($S875),"",OFFSET('Smelter Reference List'!$F$4,$S875-4,0)))</f>
        <v/>
      </c>
      <c r="H875" s="293" t="str">
        <f ca="1">IF(ISERROR($S875),"",OFFSET('Smelter Reference List'!$G$4,$S875-4,0))</f>
        <v/>
      </c>
      <c r="I875" s="294" t="str">
        <f ca="1">IF(ISERROR($S875),"",OFFSET('Smelter Reference List'!$H$4,$S875-4,0))</f>
        <v/>
      </c>
      <c r="J875" s="294" t="str">
        <f ca="1">IF(ISERROR($S875),"",OFFSET('Smelter Reference List'!$I$4,$S875-4,0))</f>
        <v/>
      </c>
      <c r="K875" s="295"/>
      <c r="L875" s="295"/>
      <c r="M875" s="295"/>
      <c r="N875" s="295"/>
      <c r="O875" s="295"/>
      <c r="P875" s="295"/>
      <c r="Q875" s="296"/>
      <c r="R875" s="227"/>
      <c r="S875" s="228" t="e">
        <f>IF(C875="",NA(),MATCH($B875&amp;$C875,'Smelter Reference List'!$J:$J,0))</f>
        <v>#N/A</v>
      </c>
      <c r="T875" s="229"/>
      <c r="U875" s="229">
        <f t="shared" ca="1" si="28"/>
        <v>0</v>
      </c>
      <c r="V875" s="229"/>
      <c r="W875" s="229"/>
      <c r="Y875" s="223" t="str">
        <f t="shared" si="29"/>
        <v/>
      </c>
    </row>
    <row r="876" spans="1:25" s="223" customFormat="1" ht="20.25">
      <c r="A876" s="291"/>
      <c r="B876" s="292" t="str">
        <f>IF(LEN(A876)=0,"",INDEX('Smelter Reference List'!$A:$A,MATCH($A876,'Smelter Reference List'!$E:$E,0)))</f>
        <v/>
      </c>
      <c r="C876" s="298" t="str">
        <f>IF(LEN(A876)=0,"",INDEX('Smelter Reference List'!$C:$C,MATCH($A876,'Smelter Reference List'!$E:$E,0)))</f>
        <v/>
      </c>
      <c r="D876" s="292" t="str">
        <f ca="1">IF(ISERROR($S876),"",OFFSET('Smelter Reference List'!$C$4,$S876-4,0)&amp;"")</f>
        <v/>
      </c>
      <c r="E876" s="292" t="str">
        <f ca="1">IF(ISERROR($S876),"",OFFSET('Smelter Reference List'!$D$4,$S876-4,0)&amp;"")</f>
        <v/>
      </c>
      <c r="F876" s="292" t="str">
        <f ca="1">IF(ISERROR($S876),"",OFFSET('Smelter Reference List'!$E$4,$S876-4,0))</f>
        <v/>
      </c>
      <c r="G876" s="292" t="str">
        <f ca="1">IF(C876=$U$4,"Enter smelter details", IF(ISERROR($S876),"",OFFSET('Smelter Reference List'!$F$4,$S876-4,0)))</f>
        <v/>
      </c>
      <c r="H876" s="293" t="str">
        <f ca="1">IF(ISERROR($S876),"",OFFSET('Smelter Reference List'!$G$4,$S876-4,0))</f>
        <v/>
      </c>
      <c r="I876" s="294" t="str">
        <f ca="1">IF(ISERROR($S876),"",OFFSET('Smelter Reference List'!$H$4,$S876-4,0))</f>
        <v/>
      </c>
      <c r="J876" s="294" t="str">
        <f ca="1">IF(ISERROR($S876),"",OFFSET('Smelter Reference List'!$I$4,$S876-4,0))</f>
        <v/>
      </c>
      <c r="K876" s="295"/>
      <c r="L876" s="295"/>
      <c r="M876" s="295"/>
      <c r="N876" s="295"/>
      <c r="O876" s="295"/>
      <c r="P876" s="295"/>
      <c r="Q876" s="296"/>
      <c r="R876" s="227"/>
      <c r="S876" s="228" t="e">
        <f>IF(C876="",NA(),MATCH($B876&amp;$C876,'Smelter Reference List'!$J:$J,0))</f>
        <v>#N/A</v>
      </c>
      <c r="T876" s="229"/>
      <c r="U876" s="229">
        <f t="shared" ca="1" si="28"/>
        <v>0</v>
      </c>
      <c r="V876" s="229"/>
      <c r="W876" s="229"/>
      <c r="Y876" s="223" t="str">
        <f t="shared" si="29"/>
        <v/>
      </c>
    </row>
    <row r="877" spans="1:25" s="223" customFormat="1" ht="20.25">
      <c r="A877" s="291"/>
      <c r="B877" s="292" t="str">
        <f>IF(LEN(A877)=0,"",INDEX('Smelter Reference List'!$A:$A,MATCH($A877,'Smelter Reference List'!$E:$E,0)))</f>
        <v/>
      </c>
      <c r="C877" s="298" t="str">
        <f>IF(LEN(A877)=0,"",INDEX('Smelter Reference List'!$C:$C,MATCH($A877,'Smelter Reference List'!$E:$E,0)))</f>
        <v/>
      </c>
      <c r="D877" s="292" t="str">
        <f ca="1">IF(ISERROR($S877),"",OFFSET('Smelter Reference List'!$C$4,$S877-4,0)&amp;"")</f>
        <v/>
      </c>
      <c r="E877" s="292" t="str">
        <f ca="1">IF(ISERROR($S877),"",OFFSET('Smelter Reference List'!$D$4,$S877-4,0)&amp;"")</f>
        <v/>
      </c>
      <c r="F877" s="292" t="str">
        <f ca="1">IF(ISERROR($S877),"",OFFSET('Smelter Reference List'!$E$4,$S877-4,0))</f>
        <v/>
      </c>
      <c r="G877" s="292" t="str">
        <f ca="1">IF(C877=$U$4,"Enter smelter details", IF(ISERROR($S877),"",OFFSET('Smelter Reference List'!$F$4,$S877-4,0)))</f>
        <v/>
      </c>
      <c r="H877" s="293" t="str">
        <f ca="1">IF(ISERROR($S877),"",OFFSET('Smelter Reference List'!$G$4,$S877-4,0))</f>
        <v/>
      </c>
      <c r="I877" s="294" t="str">
        <f ca="1">IF(ISERROR($S877),"",OFFSET('Smelter Reference List'!$H$4,$S877-4,0))</f>
        <v/>
      </c>
      <c r="J877" s="294" t="str">
        <f ca="1">IF(ISERROR($S877),"",OFFSET('Smelter Reference List'!$I$4,$S877-4,0))</f>
        <v/>
      </c>
      <c r="K877" s="295"/>
      <c r="L877" s="295"/>
      <c r="M877" s="295"/>
      <c r="N877" s="295"/>
      <c r="O877" s="295"/>
      <c r="P877" s="295"/>
      <c r="Q877" s="296"/>
      <c r="R877" s="227"/>
      <c r="S877" s="228" t="e">
        <f>IF(C877="",NA(),MATCH($B877&amp;$C877,'Smelter Reference List'!$J:$J,0))</f>
        <v>#N/A</v>
      </c>
      <c r="T877" s="229"/>
      <c r="U877" s="229">
        <f t="shared" ca="1" si="28"/>
        <v>0</v>
      </c>
      <c r="V877" s="229"/>
      <c r="W877" s="229"/>
      <c r="Y877" s="223" t="str">
        <f t="shared" si="29"/>
        <v/>
      </c>
    </row>
    <row r="878" spans="1:25" s="223" customFormat="1" ht="20.25">
      <c r="A878" s="291"/>
      <c r="B878" s="292" t="str">
        <f>IF(LEN(A878)=0,"",INDEX('Smelter Reference List'!$A:$A,MATCH($A878,'Smelter Reference List'!$E:$E,0)))</f>
        <v/>
      </c>
      <c r="C878" s="298" t="str">
        <f>IF(LEN(A878)=0,"",INDEX('Smelter Reference List'!$C:$C,MATCH($A878,'Smelter Reference List'!$E:$E,0)))</f>
        <v/>
      </c>
      <c r="D878" s="292" t="str">
        <f ca="1">IF(ISERROR($S878),"",OFFSET('Smelter Reference List'!$C$4,$S878-4,0)&amp;"")</f>
        <v/>
      </c>
      <c r="E878" s="292" t="str">
        <f ca="1">IF(ISERROR($S878),"",OFFSET('Smelter Reference List'!$D$4,$S878-4,0)&amp;"")</f>
        <v/>
      </c>
      <c r="F878" s="292" t="str">
        <f ca="1">IF(ISERROR($S878),"",OFFSET('Smelter Reference List'!$E$4,$S878-4,0))</f>
        <v/>
      </c>
      <c r="G878" s="292" t="str">
        <f ca="1">IF(C878=$U$4,"Enter smelter details", IF(ISERROR($S878),"",OFFSET('Smelter Reference List'!$F$4,$S878-4,0)))</f>
        <v/>
      </c>
      <c r="H878" s="293" t="str">
        <f ca="1">IF(ISERROR($S878),"",OFFSET('Smelter Reference List'!$G$4,$S878-4,0))</f>
        <v/>
      </c>
      <c r="I878" s="294" t="str">
        <f ca="1">IF(ISERROR($S878),"",OFFSET('Smelter Reference List'!$H$4,$S878-4,0))</f>
        <v/>
      </c>
      <c r="J878" s="294" t="str">
        <f ca="1">IF(ISERROR($S878),"",OFFSET('Smelter Reference List'!$I$4,$S878-4,0))</f>
        <v/>
      </c>
      <c r="K878" s="295"/>
      <c r="L878" s="295"/>
      <c r="M878" s="295"/>
      <c r="N878" s="295"/>
      <c r="O878" s="295"/>
      <c r="P878" s="295"/>
      <c r="Q878" s="296"/>
      <c r="R878" s="227"/>
      <c r="S878" s="228" t="e">
        <f>IF(C878="",NA(),MATCH($B878&amp;$C878,'Smelter Reference List'!$J:$J,0))</f>
        <v>#N/A</v>
      </c>
      <c r="T878" s="229"/>
      <c r="U878" s="229">
        <f t="shared" ca="1" si="28"/>
        <v>0</v>
      </c>
      <c r="V878" s="229"/>
      <c r="W878" s="229"/>
      <c r="Y878" s="223" t="str">
        <f t="shared" si="29"/>
        <v/>
      </c>
    </row>
    <row r="879" spans="1:25" s="223" customFormat="1" ht="20.25">
      <c r="A879" s="291"/>
      <c r="B879" s="292" t="str">
        <f>IF(LEN(A879)=0,"",INDEX('Smelter Reference List'!$A:$A,MATCH($A879,'Smelter Reference List'!$E:$E,0)))</f>
        <v/>
      </c>
      <c r="C879" s="298" t="str">
        <f>IF(LEN(A879)=0,"",INDEX('Smelter Reference List'!$C:$C,MATCH($A879,'Smelter Reference List'!$E:$E,0)))</f>
        <v/>
      </c>
      <c r="D879" s="292" t="str">
        <f ca="1">IF(ISERROR($S879),"",OFFSET('Smelter Reference List'!$C$4,$S879-4,0)&amp;"")</f>
        <v/>
      </c>
      <c r="E879" s="292" t="str">
        <f ca="1">IF(ISERROR($S879),"",OFFSET('Smelter Reference List'!$D$4,$S879-4,0)&amp;"")</f>
        <v/>
      </c>
      <c r="F879" s="292" t="str">
        <f ca="1">IF(ISERROR($S879),"",OFFSET('Smelter Reference List'!$E$4,$S879-4,0))</f>
        <v/>
      </c>
      <c r="G879" s="292" t="str">
        <f ca="1">IF(C879=$U$4,"Enter smelter details", IF(ISERROR($S879),"",OFFSET('Smelter Reference List'!$F$4,$S879-4,0)))</f>
        <v/>
      </c>
      <c r="H879" s="293" t="str">
        <f ca="1">IF(ISERROR($S879),"",OFFSET('Smelter Reference List'!$G$4,$S879-4,0))</f>
        <v/>
      </c>
      <c r="I879" s="294" t="str">
        <f ca="1">IF(ISERROR($S879),"",OFFSET('Smelter Reference List'!$H$4,$S879-4,0))</f>
        <v/>
      </c>
      <c r="J879" s="294" t="str">
        <f ca="1">IF(ISERROR($S879),"",OFFSET('Smelter Reference List'!$I$4,$S879-4,0))</f>
        <v/>
      </c>
      <c r="K879" s="295"/>
      <c r="L879" s="295"/>
      <c r="M879" s="295"/>
      <c r="N879" s="295"/>
      <c r="O879" s="295"/>
      <c r="P879" s="295"/>
      <c r="Q879" s="296"/>
      <c r="R879" s="227"/>
      <c r="S879" s="228" t="e">
        <f>IF(C879="",NA(),MATCH($B879&amp;$C879,'Smelter Reference List'!$J:$J,0))</f>
        <v>#N/A</v>
      </c>
      <c r="T879" s="229"/>
      <c r="U879" s="229">
        <f t="shared" ca="1" si="28"/>
        <v>0</v>
      </c>
      <c r="V879" s="229"/>
      <c r="W879" s="229"/>
      <c r="Y879" s="223" t="str">
        <f t="shared" si="29"/>
        <v/>
      </c>
    </row>
    <row r="880" spans="1:25" s="223" customFormat="1" ht="20.25">
      <c r="A880" s="291"/>
      <c r="B880" s="292" t="str">
        <f>IF(LEN(A880)=0,"",INDEX('Smelter Reference List'!$A:$A,MATCH($A880,'Smelter Reference List'!$E:$E,0)))</f>
        <v/>
      </c>
      <c r="C880" s="298" t="str">
        <f>IF(LEN(A880)=0,"",INDEX('Smelter Reference List'!$C:$C,MATCH($A880,'Smelter Reference List'!$E:$E,0)))</f>
        <v/>
      </c>
      <c r="D880" s="292" t="str">
        <f ca="1">IF(ISERROR($S880),"",OFFSET('Smelter Reference List'!$C$4,$S880-4,0)&amp;"")</f>
        <v/>
      </c>
      <c r="E880" s="292" t="str">
        <f ca="1">IF(ISERROR($S880),"",OFFSET('Smelter Reference List'!$D$4,$S880-4,0)&amp;"")</f>
        <v/>
      </c>
      <c r="F880" s="292" t="str">
        <f ca="1">IF(ISERROR($S880),"",OFFSET('Smelter Reference List'!$E$4,$S880-4,0))</f>
        <v/>
      </c>
      <c r="G880" s="292" t="str">
        <f ca="1">IF(C880=$U$4,"Enter smelter details", IF(ISERROR($S880),"",OFFSET('Smelter Reference List'!$F$4,$S880-4,0)))</f>
        <v/>
      </c>
      <c r="H880" s="293" t="str">
        <f ca="1">IF(ISERROR($S880),"",OFFSET('Smelter Reference List'!$G$4,$S880-4,0))</f>
        <v/>
      </c>
      <c r="I880" s="294" t="str">
        <f ca="1">IF(ISERROR($S880),"",OFFSET('Smelter Reference List'!$H$4,$S880-4,0))</f>
        <v/>
      </c>
      <c r="J880" s="294" t="str">
        <f ca="1">IF(ISERROR($S880),"",OFFSET('Smelter Reference List'!$I$4,$S880-4,0))</f>
        <v/>
      </c>
      <c r="K880" s="295"/>
      <c r="L880" s="295"/>
      <c r="M880" s="295"/>
      <c r="N880" s="295"/>
      <c r="O880" s="295"/>
      <c r="P880" s="295"/>
      <c r="Q880" s="296"/>
      <c r="R880" s="227"/>
      <c r="S880" s="228" t="e">
        <f>IF(C880="",NA(),MATCH($B880&amp;$C880,'Smelter Reference List'!$J:$J,0))</f>
        <v>#N/A</v>
      </c>
      <c r="T880" s="229"/>
      <c r="U880" s="229">
        <f t="shared" ca="1" si="28"/>
        <v>0</v>
      </c>
      <c r="V880" s="229"/>
      <c r="W880" s="229"/>
      <c r="Y880" s="223" t="str">
        <f t="shared" si="29"/>
        <v/>
      </c>
    </row>
    <row r="881" spans="1:25" s="223" customFormat="1" ht="20.25">
      <c r="A881" s="291"/>
      <c r="B881" s="292" t="str">
        <f>IF(LEN(A881)=0,"",INDEX('Smelter Reference List'!$A:$A,MATCH($A881,'Smelter Reference List'!$E:$E,0)))</f>
        <v/>
      </c>
      <c r="C881" s="298" t="str">
        <f>IF(LEN(A881)=0,"",INDEX('Smelter Reference List'!$C:$C,MATCH($A881,'Smelter Reference List'!$E:$E,0)))</f>
        <v/>
      </c>
      <c r="D881" s="292" t="str">
        <f ca="1">IF(ISERROR($S881),"",OFFSET('Smelter Reference List'!$C$4,$S881-4,0)&amp;"")</f>
        <v/>
      </c>
      <c r="E881" s="292" t="str">
        <f ca="1">IF(ISERROR($S881),"",OFFSET('Smelter Reference List'!$D$4,$S881-4,0)&amp;"")</f>
        <v/>
      </c>
      <c r="F881" s="292" t="str">
        <f ca="1">IF(ISERROR($S881),"",OFFSET('Smelter Reference List'!$E$4,$S881-4,0))</f>
        <v/>
      </c>
      <c r="G881" s="292" t="str">
        <f ca="1">IF(C881=$U$4,"Enter smelter details", IF(ISERROR($S881),"",OFFSET('Smelter Reference List'!$F$4,$S881-4,0)))</f>
        <v/>
      </c>
      <c r="H881" s="293" t="str">
        <f ca="1">IF(ISERROR($S881),"",OFFSET('Smelter Reference List'!$G$4,$S881-4,0))</f>
        <v/>
      </c>
      <c r="I881" s="294" t="str">
        <f ca="1">IF(ISERROR($S881),"",OFFSET('Smelter Reference List'!$H$4,$S881-4,0))</f>
        <v/>
      </c>
      <c r="J881" s="294" t="str">
        <f ca="1">IF(ISERROR($S881),"",OFFSET('Smelter Reference List'!$I$4,$S881-4,0))</f>
        <v/>
      </c>
      <c r="K881" s="295"/>
      <c r="L881" s="295"/>
      <c r="M881" s="295"/>
      <c r="N881" s="295"/>
      <c r="O881" s="295"/>
      <c r="P881" s="295"/>
      <c r="Q881" s="296"/>
      <c r="R881" s="227"/>
      <c r="S881" s="228" t="e">
        <f>IF(C881="",NA(),MATCH($B881&amp;$C881,'Smelter Reference List'!$J:$J,0))</f>
        <v>#N/A</v>
      </c>
      <c r="T881" s="229"/>
      <c r="U881" s="229">
        <f t="shared" ca="1" si="28"/>
        <v>0</v>
      </c>
      <c r="V881" s="229"/>
      <c r="W881" s="229"/>
      <c r="Y881" s="223" t="str">
        <f t="shared" si="29"/>
        <v/>
      </c>
    </row>
    <row r="882" spans="1:25" s="223" customFormat="1" ht="20.25">
      <c r="A882" s="291"/>
      <c r="B882" s="292" t="str">
        <f>IF(LEN(A882)=0,"",INDEX('Smelter Reference List'!$A:$A,MATCH($A882,'Smelter Reference List'!$E:$E,0)))</f>
        <v/>
      </c>
      <c r="C882" s="298" t="str">
        <f>IF(LEN(A882)=0,"",INDEX('Smelter Reference List'!$C:$C,MATCH($A882,'Smelter Reference List'!$E:$E,0)))</f>
        <v/>
      </c>
      <c r="D882" s="292" t="str">
        <f ca="1">IF(ISERROR($S882),"",OFFSET('Smelter Reference List'!$C$4,$S882-4,0)&amp;"")</f>
        <v/>
      </c>
      <c r="E882" s="292" t="str">
        <f ca="1">IF(ISERROR($S882),"",OFFSET('Smelter Reference List'!$D$4,$S882-4,0)&amp;"")</f>
        <v/>
      </c>
      <c r="F882" s="292" t="str">
        <f ca="1">IF(ISERROR($S882),"",OFFSET('Smelter Reference List'!$E$4,$S882-4,0))</f>
        <v/>
      </c>
      <c r="G882" s="292" t="str">
        <f ca="1">IF(C882=$U$4,"Enter smelter details", IF(ISERROR($S882),"",OFFSET('Smelter Reference List'!$F$4,$S882-4,0)))</f>
        <v/>
      </c>
      <c r="H882" s="293" t="str">
        <f ca="1">IF(ISERROR($S882),"",OFFSET('Smelter Reference List'!$G$4,$S882-4,0))</f>
        <v/>
      </c>
      <c r="I882" s="294" t="str">
        <f ca="1">IF(ISERROR($S882),"",OFFSET('Smelter Reference List'!$H$4,$S882-4,0))</f>
        <v/>
      </c>
      <c r="J882" s="294" t="str">
        <f ca="1">IF(ISERROR($S882),"",OFFSET('Smelter Reference List'!$I$4,$S882-4,0))</f>
        <v/>
      </c>
      <c r="K882" s="295"/>
      <c r="L882" s="295"/>
      <c r="M882" s="295"/>
      <c r="N882" s="295"/>
      <c r="O882" s="295"/>
      <c r="P882" s="295"/>
      <c r="Q882" s="296"/>
      <c r="R882" s="227"/>
      <c r="S882" s="228" t="e">
        <f>IF(C882="",NA(),MATCH($B882&amp;$C882,'Smelter Reference List'!$J:$J,0))</f>
        <v>#N/A</v>
      </c>
      <c r="T882" s="229"/>
      <c r="U882" s="229">
        <f t="shared" ca="1" si="28"/>
        <v>0</v>
      </c>
      <c r="V882" s="229"/>
      <c r="W882" s="229"/>
      <c r="Y882" s="223" t="str">
        <f t="shared" si="29"/>
        <v/>
      </c>
    </row>
    <row r="883" spans="1:25" s="223" customFormat="1" ht="20.25">
      <c r="A883" s="291"/>
      <c r="B883" s="292" t="str">
        <f>IF(LEN(A883)=0,"",INDEX('Smelter Reference List'!$A:$A,MATCH($A883,'Smelter Reference List'!$E:$E,0)))</f>
        <v/>
      </c>
      <c r="C883" s="298" t="str">
        <f>IF(LEN(A883)=0,"",INDEX('Smelter Reference List'!$C:$C,MATCH($A883,'Smelter Reference List'!$E:$E,0)))</f>
        <v/>
      </c>
      <c r="D883" s="292" t="str">
        <f ca="1">IF(ISERROR($S883),"",OFFSET('Smelter Reference List'!$C$4,$S883-4,0)&amp;"")</f>
        <v/>
      </c>
      <c r="E883" s="292" t="str">
        <f ca="1">IF(ISERROR($S883),"",OFFSET('Smelter Reference List'!$D$4,$S883-4,0)&amp;"")</f>
        <v/>
      </c>
      <c r="F883" s="292" t="str">
        <f ca="1">IF(ISERROR($S883),"",OFFSET('Smelter Reference List'!$E$4,$S883-4,0))</f>
        <v/>
      </c>
      <c r="G883" s="292" t="str">
        <f ca="1">IF(C883=$U$4,"Enter smelter details", IF(ISERROR($S883),"",OFFSET('Smelter Reference List'!$F$4,$S883-4,0)))</f>
        <v/>
      </c>
      <c r="H883" s="293" t="str">
        <f ca="1">IF(ISERROR($S883),"",OFFSET('Smelter Reference List'!$G$4,$S883-4,0))</f>
        <v/>
      </c>
      <c r="I883" s="294" t="str">
        <f ca="1">IF(ISERROR($S883),"",OFFSET('Smelter Reference List'!$H$4,$S883-4,0))</f>
        <v/>
      </c>
      <c r="J883" s="294" t="str">
        <f ca="1">IF(ISERROR($S883),"",OFFSET('Smelter Reference List'!$I$4,$S883-4,0))</f>
        <v/>
      </c>
      <c r="K883" s="295"/>
      <c r="L883" s="295"/>
      <c r="M883" s="295"/>
      <c r="N883" s="295"/>
      <c r="O883" s="295"/>
      <c r="P883" s="295"/>
      <c r="Q883" s="296"/>
      <c r="R883" s="227"/>
      <c r="S883" s="228" t="e">
        <f>IF(C883="",NA(),MATCH($B883&amp;$C883,'Smelter Reference List'!$J:$J,0))</f>
        <v>#N/A</v>
      </c>
      <c r="T883" s="229"/>
      <c r="U883" s="229">
        <f t="shared" ca="1" si="28"/>
        <v>0</v>
      </c>
      <c r="V883" s="229"/>
      <c r="W883" s="229"/>
      <c r="Y883" s="223" t="str">
        <f t="shared" si="29"/>
        <v/>
      </c>
    </row>
    <row r="884" spans="1:25" s="223" customFormat="1" ht="20.25">
      <c r="A884" s="291"/>
      <c r="B884" s="292" t="str">
        <f>IF(LEN(A884)=0,"",INDEX('Smelter Reference List'!$A:$A,MATCH($A884,'Smelter Reference List'!$E:$E,0)))</f>
        <v/>
      </c>
      <c r="C884" s="298" t="str">
        <f>IF(LEN(A884)=0,"",INDEX('Smelter Reference List'!$C:$C,MATCH($A884,'Smelter Reference List'!$E:$E,0)))</f>
        <v/>
      </c>
      <c r="D884" s="292" t="str">
        <f ca="1">IF(ISERROR($S884),"",OFFSET('Smelter Reference List'!$C$4,$S884-4,0)&amp;"")</f>
        <v/>
      </c>
      <c r="E884" s="292" t="str">
        <f ca="1">IF(ISERROR($S884),"",OFFSET('Smelter Reference List'!$D$4,$S884-4,0)&amp;"")</f>
        <v/>
      </c>
      <c r="F884" s="292" t="str">
        <f ca="1">IF(ISERROR($S884),"",OFFSET('Smelter Reference List'!$E$4,$S884-4,0))</f>
        <v/>
      </c>
      <c r="G884" s="292" t="str">
        <f ca="1">IF(C884=$U$4,"Enter smelter details", IF(ISERROR($S884),"",OFFSET('Smelter Reference List'!$F$4,$S884-4,0)))</f>
        <v/>
      </c>
      <c r="H884" s="293" t="str">
        <f ca="1">IF(ISERROR($S884),"",OFFSET('Smelter Reference List'!$G$4,$S884-4,0))</f>
        <v/>
      </c>
      <c r="I884" s="294" t="str">
        <f ca="1">IF(ISERROR($S884),"",OFFSET('Smelter Reference List'!$H$4,$S884-4,0))</f>
        <v/>
      </c>
      <c r="J884" s="294" t="str">
        <f ca="1">IF(ISERROR($S884),"",OFFSET('Smelter Reference List'!$I$4,$S884-4,0))</f>
        <v/>
      </c>
      <c r="K884" s="295"/>
      <c r="L884" s="295"/>
      <c r="M884" s="295"/>
      <c r="N884" s="295"/>
      <c r="O884" s="295"/>
      <c r="P884" s="295"/>
      <c r="Q884" s="296"/>
      <c r="R884" s="227"/>
      <c r="S884" s="228" t="e">
        <f>IF(C884="",NA(),MATCH($B884&amp;$C884,'Smelter Reference List'!$J:$J,0))</f>
        <v>#N/A</v>
      </c>
      <c r="T884" s="229"/>
      <c r="U884" s="229">
        <f t="shared" ca="1" si="28"/>
        <v>0</v>
      </c>
      <c r="V884" s="229"/>
      <c r="W884" s="229"/>
      <c r="Y884" s="223" t="str">
        <f t="shared" si="29"/>
        <v/>
      </c>
    </row>
    <row r="885" spans="1:25" s="223" customFormat="1" ht="20.25">
      <c r="A885" s="291"/>
      <c r="B885" s="292" t="str">
        <f>IF(LEN(A885)=0,"",INDEX('Smelter Reference List'!$A:$A,MATCH($A885,'Smelter Reference List'!$E:$E,0)))</f>
        <v/>
      </c>
      <c r="C885" s="298" t="str">
        <f>IF(LEN(A885)=0,"",INDEX('Smelter Reference List'!$C:$C,MATCH($A885,'Smelter Reference List'!$E:$E,0)))</f>
        <v/>
      </c>
      <c r="D885" s="292" t="str">
        <f ca="1">IF(ISERROR($S885),"",OFFSET('Smelter Reference List'!$C$4,$S885-4,0)&amp;"")</f>
        <v/>
      </c>
      <c r="E885" s="292" t="str">
        <f ca="1">IF(ISERROR($S885),"",OFFSET('Smelter Reference List'!$D$4,$S885-4,0)&amp;"")</f>
        <v/>
      </c>
      <c r="F885" s="292" t="str">
        <f ca="1">IF(ISERROR($S885),"",OFFSET('Smelter Reference List'!$E$4,$S885-4,0))</f>
        <v/>
      </c>
      <c r="G885" s="292" t="str">
        <f ca="1">IF(C885=$U$4,"Enter smelter details", IF(ISERROR($S885),"",OFFSET('Smelter Reference List'!$F$4,$S885-4,0)))</f>
        <v/>
      </c>
      <c r="H885" s="293" t="str">
        <f ca="1">IF(ISERROR($S885),"",OFFSET('Smelter Reference List'!$G$4,$S885-4,0))</f>
        <v/>
      </c>
      <c r="I885" s="294" t="str">
        <f ca="1">IF(ISERROR($S885),"",OFFSET('Smelter Reference List'!$H$4,$S885-4,0))</f>
        <v/>
      </c>
      <c r="J885" s="294" t="str">
        <f ca="1">IF(ISERROR($S885),"",OFFSET('Smelter Reference List'!$I$4,$S885-4,0))</f>
        <v/>
      </c>
      <c r="K885" s="295"/>
      <c r="L885" s="295"/>
      <c r="M885" s="295"/>
      <c r="N885" s="295"/>
      <c r="O885" s="295"/>
      <c r="P885" s="295"/>
      <c r="Q885" s="296"/>
      <c r="R885" s="227"/>
      <c r="S885" s="228" t="e">
        <f>IF(C885="",NA(),MATCH($B885&amp;$C885,'Smelter Reference List'!$J:$J,0))</f>
        <v>#N/A</v>
      </c>
      <c r="T885" s="229"/>
      <c r="U885" s="229">
        <f t="shared" ca="1" si="28"/>
        <v>0</v>
      </c>
      <c r="V885" s="229"/>
      <c r="W885" s="229"/>
      <c r="Y885" s="223" t="str">
        <f t="shared" si="29"/>
        <v/>
      </c>
    </row>
    <row r="886" spans="1:25" s="223" customFormat="1" ht="20.25">
      <c r="A886" s="291"/>
      <c r="B886" s="292" t="str">
        <f>IF(LEN(A886)=0,"",INDEX('Smelter Reference List'!$A:$A,MATCH($A886,'Smelter Reference List'!$E:$E,0)))</f>
        <v/>
      </c>
      <c r="C886" s="298" t="str">
        <f>IF(LEN(A886)=0,"",INDEX('Smelter Reference List'!$C:$C,MATCH($A886,'Smelter Reference List'!$E:$E,0)))</f>
        <v/>
      </c>
      <c r="D886" s="292" t="str">
        <f ca="1">IF(ISERROR($S886),"",OFFSET('Smelter Reference List'!$C$4,$S886-4,0)&amp;"")</f>
        <v/>
      </c>
      <c r="E886" s="292" t="str">
        <f ca="1">IF(ISERROR($S886),"",OFFSET('Smelter Reference List'!$D$4,$S886-4,0)&amp;"")</f>
        <v/>
      </c>
      <c r="F886" s="292" t="str">
        <f ca="1">IF(ISERROR($S886),"",OFFSET('Smelter Reference List'!$E$4,$S886-4,0))</f>
        <v/>
      </c>
      <c r="G886" s="292" t="str">
        <f ca="1">IF(C886=$U$4,"Enter smelter details", IF(ISERROR($S886),"",OFFSET('Smelter Reference List'!$F$4,$S886-4,0)))</f>
        <v/>
      </c>
      <c r="H886" s="293" t="str">
        <f ca="1">IF(ISERROR($S886),"",OFFSET('Smelter Reference List'!$G$4,$S886-4,0))</f>
        <v/>
      </c>
      <c r="I886" s="294" t="str">
        <f ca="1">IF(ISERROR($S886),"",OFFSET('Smelter Reference List'!$H$4,$S886-4,0))</f>
        <v/>
      </c>
      <c r="J886" s="294" t="str">
        <f ca="1">IF(ISERROR($S886),"",OFFSET('Smelter Reference List'!$I$4,$S886-4,0))</f>
        <v/>
      </c>
      <c r="K886" s="295"/>
      <c r="L886" s="295"/>
      <c r="M886" s="295"/>
      <c r="N886" s="295"/>
      <c r="O886" s="295"/>
      <c r="P886" s="295"/>
      <c r="Q886" s="296"/>
      <c r="R886" s="227"/>
      <c r="S886" s="228" t="e">
        <f>IF(C886="",NA(),MATCH($B886&amp;$C886,'Smelter Reference List'!$J:$J,0))</f>
        <v>#N/A</v>
      </c>
      <c r="T886" s="229"/>
      <c r="U886" s="229">
        <f t="shared" ca="1" si="28"/>
        <v>0</v>
      </c>
      <c r="V886" s="229"/>
      <c r="W886" s="229"/>
      <c r="Y886" s="223" t="str">
        <f t="shared" si="29"/>
        <v/>
      </c>
    </row>
    <row r="887" spans="1:25" s="223" customFormat="1" ht="20.25">
      <c r="A887" s="291"/>
      <c r="B887" s="292" t="str">
        <f>IF(LEN(A887)=0,"",INDEX('Smelter Reference List'!$A:$A,MATCH($A887,'Smelter Reference List'!$E:$E,0)))</f>
        <v/>
      </c>
      <c r="C887" s="298" t="str">
        <f>IF(LEN(A887)=0,"",INDEX('Smelter Reference List'!$C:$C,MATCH($A887,'Smelter Reference List'!$E:$E,0)))</f>
        <v/>
      </c>
      <c r="D887" s="292" t="str">
        <f ca="1">IF(ISERROR($S887),"",OFFSET('Smelter Reference List'!$C$4,$S887-4,0)&amp;"")</f>
        <v/>
      </c>
      <c r="E887" s="292" t="str">
        <f ca="1">IF(ISERROR($S887),"",OFFSET('Smelter Reference List'!$D$4,$S887-4,0)&amp;"")</f>
        <v/>
      </c>
      <c r="F887" s="292" t="str">
        <f ca="1">IF(ISERROR($S887),"",OFFSET('Smelter Reference List'!$E$4,$S887-4,0))</f>
        <v/>
      </c>
      <c r="G887" s="292" t="str">
        <f ca="1">IF(C887=$U$4,"Enter smelter details", IF(ISERROR($S887),"",OFFSET('Smelter Reference List'!$F$4,$S887-4,0)))</f>
        <v/>
      </c>
      <c r="H887" s="293" t="str">
        <f ca="1">IF(ISERROR($S887),"",OFFSET('Smelter Reference List'!$G$4,$S887-4,0))</f>
        <v/>
      </c>
      <c r="I887" s="294" t="str">
        <f ca="1">IF(ISERROR($S887),"",OFFSET('Smelter Reference List'!$H$4,$S887-4,0))</f>
        <v/>
      </c>
      <c r="J887" s="294" t="str">
        <f ca="1">IF(ISERROR($S887),"",OFFSET('Smelter Reference List'!$I$4,$S887-4,0))</f>
        <v/>
      </c>
      <c r="K887" s="295"/>
      <c r="L887" s="295"/>
      <c r="M887" s="295"/>
      <c r="N887" s="295"/>
      <c r="O887" s="295"/>
      <c r="P887" s="295"/>
      <c r="Q887" s="296"/>
      <c r="R887" s="227"/>
      <c r="S887" s="228" t="e">
        <f>IF(C887="",NA(),MATCH($B887&amp;$C887,'Smelter Reference List'!$J:$J,0))</f>
        <v>#N/A</v>
      </c>
      <c r="T887" s="229"/>
      <c r="U887" s="229">
        <f t="shared" ca="1" si="28"/>
        <v>0</v>
      </c>
      <c r="V887" s="229"/>
      <c r="W887" s="229"/>
      <c r="Y887" s="223" t="str">
        <f t="shared" si="29"/>
        <v/>
      </c>
    </row>
    <row r="888" spans="1:25" s="223" customFormat="1" ht="20.25">
      <c r="A888" s="291"/>
      <c r="B888" s="292" t="str">
        <f>IF(LEN(A888)=0,"",INDEX('Smelter Reference List'!$A:$A,MATCH($A888,'Smelter Reference List'!$E:$E,0)))</f>
        <v/>
      </c>
      <c r="C888" s="298" t="str">
        <f>IF(LEN(A888)=0,"",INDEX('Smelter Reference List'!$C:$C,MATCH($A888,'Smelter Reference List'!$E:$E,0)))</f>
        <v/>
      </c>
      <c r="D888" s="292" t="str">
        <f ca="1">IF(ISERROR($S888),"",OFFSET('Smelter Reference List'!$C$4,$S888-4,0)&amp;"")</f>
        <v/>
      </c>
      <c r="E888" s="292" t="str">
        <f ca="1">IF(ISERROR($S888),"",OFFSET('Smelter Reference List'!$D$4,$S888-4,0)&amp;"")</f>
        <v/>
      </c>
      <c r="F888" s="292" t="str">
        <f ca="1">IF(ISERROR($S888),"",OFFSET('Smelter Reference List'!$E$4,$S888-4,0))</f>
        <v/>
      </c>
      <c r="G888" s="292" t="str">
        <f ca="1">IF(C888=$U$4,"Enter smelter details", IF(ISERROR($S888),"",OFFSET('Smelter Reference List'!$F$4,$S888-4,0)))</f>
        <v/>
      </c>
      <c r="H888" s="293" t="str">
        <f ca="1">IF(ISERROR($S888),"",OFFSET('Smelter Reference List'!$G$4,$S888-4,0))</f>
        <v/>
      </c>
      <c r="I888" s="294" t="str">
        <f ca="1">IF(ISERROR($S888),"",OFFSET('Smelter Reference List'!$H$4,$S888-4,0))</f>
        <v/>
      </c>
      <c r="J888" s="294" t="str">
        <f ca="1">IF(ISERROR($S888),"",OFFSET('Smelter Reference List'!$I$4,$S888-4,0))</f>
        <v/>
      </c>
      <c r="K888" s="295"/>
      <c r="L888" s="295"/>
      <c r="M888" s="295"/>
      <c r="N888" s="295"/>
      <c r="O888" s="295"/>
      <c r="P888" s="295"/>
      <c r="Q888" s="296"/>
      <c r="R888" s="227"/>
      <c r="S888" s="228" t="e">
        <f>IF(C888="",NA(),MATCH($B888&amp;$C888,'Smelter Reference List'!$J:$J,0))</f>
        <v>#N/A</v>
      </c>
      <c r="T888" s="229"/>
      <c r="U888" s="229">
        <f t="shared" ca="1" si="28"/>
        <v>0</v>
      </c>
      <c r="V888" s="229"/>
      <c r="W888" s="229"/>
      <c r="Y888" s="223" t="str">
        <f t="shared" si="29"/>
        <v/>
      </c>
    </row>
    <row r="889" spans="1:25" s="223" customFormat="1" ht="20.25">
      <c r="A889" s="291"/>
      <c r="B889" s="292" t="str">
        <f>IF(LEN(A889)=0,"",INDEX('Smelter Reference List'!$A:$A,MATCH($A889,'Smelter Reference List'!$E:$E,0)))</f>
        <v/>
      </c>
      <c r="C889" s="298" t="str">
        <f>IF(LEN(A889)=0,"",INDEX('Smelter Reference List'!$C:$C,MATCH($A889,'Smelter Reference List'!$E:$E,0)))</f>
        <v/>
      </c>
      <c r="D889" s="292" t="str">
        <f ca="1">IF(ISERROR($S889),"",OFFSET('Smelter Reference List'!$C$4,$S889-4,0)&amp;"")</f>
        <v/>
      </c>
      <c r="E889" s="292" t="str">
        <f ca="1">IF(ISERROR($S889),"",OFFSET('Smelter Reference List'!$D$4,$S889-4,0)&amp;"")</f>
        <v/>
      </c>
      <c r="F889" s="292" t="str">
        <f ca="1">IF(ISERROR($S889),"",OFFSET('Smelter Reference List'!$E$4,$S889-4,0))</f>
        <v/>
      </c>
      <c r="G889" s="292" t="str">
        <f ca="1">IF(C889=$U$4,"Enter smelter details", IF(ISERROR($S889),"",OFFSET('Smelter Reference List'!$F$4,$S889-4,0)))</f>
        <v/>
      </c>
      <c r="H889" s="293" t="str">
        <f ca="1">IF(ISERROR($S889),"",OFFSET('Smelter Reference List'!$G$4,$S889-4,0))</f>
        <v/>
      </c>
      <c r="I889" s="294" t="str">
        <f ca="1">IF(ISERROR($S889),"",OFFSET('Smelter Reference List'!$H$4,$S889-4,0))</f>
        <v/>
      </c>
      <c r="J889" s="294" t="str">
        <f ca="1">IF(ISERROR($S889),"",OFFSET('Smelter Reference List'!$I$4,$S889-4,0))</f>
        <v/>
      </c>
      <c r="K889" s="295"/>
      <c r="L889" s="295"/>
      <c r="M889" s="295"/>
      <c r="N889" s="295"/>
      <c r="O889" s="295"/>
      <c r="P889" s="295"/>
      <c r="Q889" s="296"/>
      <c r="R889" s="227"/>
      <c r="S889" s="228" t="e">
        <f>IF(C889="",NA(),MATCH($B889&amp;$C889,'Smelter Reference List'!$J:$J,0))</f>
        <v>#N/A</v>
      </c>
      <c r="T889" s="229"/>
      <c r="U889" s="229">
        <f t="shared" ca="1" si="28"/>
        <v>0</v>
      </c>
      <c r="V889" s="229"/>
      <c r="W889" s="229"/>
      <c r="Y889" s="223" t="str">
        <f t="shared" si="29"/>
        <v/>
      </c>
    </row>
    <row r="890" spans="1:25" s="223" customFormat="1" ht="20.25">
      <c r="A890" s="291"/>
      <c r="B890" s="292" t="str">
        <f>IF(LEN(A890)=0,"",INDEX('Smelter Reference List'!$A:$A,MATCH($A890,'Smelter Reference List'!$E:$E,0)))</f>
        <v/>
      </c>
      <c r="C890" s="298" t="str">
        <f>IF(LEN(A890)=0,"",INDEX('Smelter Reference List'!$C:$C,MATCH($A890,'Smelter Reference List'!$E:$E,0)))</f>
        <v/>
      </c>
      <c r="D890" s="292" t="str">
        <f ca="1">IF(ISERROR($S890),"",OFFSET('Smelter Reference List'!$C$4,$S890-4,0)&amp;"")</f>
        <v/>
      </c>
      <c r="E890" s="292" t="str">
        <f ca="1">IF(ISERROR($S890),"",OFFSET('Smelter Reference List'!$D$4,$S890-4,0)&amp;"")</f>
        <v/>
      </c>
      <c r="F890" s="292" t="str">
        <f ca="1">IF(ISERROR($S890),"",OFFSET('Smelter Reference List'!$E$4,$S890-4,0))</f>
        <v/>
      </c>
      <c r="G890" s="292" t="str">
        <f ca="1">IF(C890=$U$4,"Enter smelter details", IF(ISERROR($S890),"",OFFSET('Smelter Reference List'!$F$4,$S890-4,0)))</f>
        <v/>
      </c>
      <c r="H890" s="293" t="str">
        <f ca="1">IF(ISERROR($S890),"",OFFSET('Smelter Reference List'!$G$4,$S890-4,0))</f>
        <v/>
      </c>
      <c r="I890" s="294" t="str">
        <f ca="1">IF(ISERROR($S890),"",OFFSET('Smelter Reference List'!$H$4,$S890-4,0))</f>
        <v/>
      </c>
      <c r="J890" s="294" t="str">
        <f ca="1">IF(ISERROR($S890),"",OFFSET('Smelter Reference List'!$I$4,$S890-4,0))</f>
        <v/>
      </c>
      <c r="K890" s="295"/>
      <c r="L890" s="295"/>
      <c r="M890" s="295"/>
      <c r="N890" s="295"/>
      <c r="O890" s="295"/>
      <c r="P890" s="295"/>
      <c r="Q890" s="296"/>
      <c r="R890" s="227"/>
      <c r="S890" s="228" t="e">
        <f>IF(C890="",NA(),MATCH($B890&amp;$C890,'Smelter Reference List'!$J:$J,0))</f>
        <v>#N/A</v>
      </c>
      <c r="T890" s="229"/>
      <c r="U890" s="229">
        <f t="shared" ca="1" si="28"/>
        <v>0</v>
      </c>
      <c r="V890" s="229"/>
      <c r="W890" s="229"/>
      <c r="Y890" s="223" t="str">
        <f t="shared" si="29"/>
        <v/>
      </c>
    </row>
    <row r="891" spans="1:25" s="223" customFormat="1" ht="20.25">
      <c r="A891" s="291"/>
      <c r="B891" s="292" t="str">
        <f>IF(LEN(A891)=0,"",INDEX('Smelter Reference List'!$A:$A,MATCH($A891,'Smelter Reference List'!$E:$E,0)))</f>
        <v/>
      </c>
      <c r="C891" s="298" t="str">
        <f>IF(LEN(A891)=0,"",INDEX('Smelter Reference List'!$C:$C,MATCH($A891,'Smelter Reference List'!$E:$E,0)))</f>
        <v/>
      </c>
      <c r="D891" s="292" t="str">
        <f ca="1">IF(ISERROR($S891),"",OFFSET('Smelter Reference List'!$C$4,$S891-4,0)&amp;"")</f>
        <v/>
      </c>
      <c r="E891" s="292" t="str">
        <f ca="1">IF(ISERROR($S891),"",OFFSET('Smelter Reference List'!$D$4,$S891-4,0)&amp;"")</f>
        <v/>
      </c>
      <c r="F891" s="292" t="str">
        <f ca="1">IF(ISERROR($S891),"",OFFSET('Smelter Reference List'!$E$4,$S891-4,0))</f>
        <v/>
      </c>
      <c r="G891" s="292" t="str">
        <f ca="1">IF(C891=$U$4,"Enter smelter details", IF(ISERROR($S891),"",OFFSET('Smelter Reference List'!$F$4,$S891-4,0)))</f>
        <v/>
      </c>
      <c r="H891" s="293" t="str">
        <f ca="1">IF(ISERROR($S891),"",OFFSET('Smelter Reference List'!$G$4,$S891-4,0))</f>
        <v/>
      </c>
      <c r="I891" s="294" t="str">
        <f ca="1">IF(ISERROR($S891),"",OFFSET('Smelter Reference List'!$H$4,$S891-4,0))</f>
        <v/>
      </c>
      <c r="J891" s="294" t="str">
        <f ca="1">IF(ISERROR($S891),"",OFFSET('Smelter Reference List'!$I$4,$S891-4,0))</f>
        <v/>
      </c>
      <c r="K891" s="295"/>
      <c r="L891" s="295"/>
      <c r="M891" s="295"/>
      <c r="N891" s="295"/>
      <c r="O891" s="295"/>
      <c r="P891" s="295"/>
      <c r="Q891" s="296"/>
      <c r="R891" s="227"/>
      <c r="S891" s="228" t="e">
        <f>IF(C891="",NA(),MATCH($B891&amp;$C891,'Smelter Reference List'!$J:$J,0))</f>
        <v>#N/A</v>
      </c>
      <c r="T891" s="229"/>
      <c r="U891" s="229">
        <f t="shared" ca="1" si="28"/>
        <v>0</v>
      </c>
      <c r="V891" s="229"/>
      <c r="W891" s="229"/>
      <c r="Y891" s="223" t="str">
        <f t="shared" si="29"/>
        <v/>
      </c>
    </row>
    <row r="892" spans="1:25" s="223" customFormat="1" ht="20.25">
      <c r="A892" s="291"/>
      <c r="B892" s="292" t="str">
        <f>IF(LEN(A892)=0,"",INDEX('Smelter Reference List'!$A:$A,MATCH($A892,'Smelter Reference List'!$E:$E,0)))</f>
        <v/>
      </c>
      <c r="C892" s="298" t="str">
        <f>IF(LEN(A892)=0,"",INDEX('Smelter Reference List'!$C:$C,MATCH($A892,'Smelter Reference List'!$E:$E,0)))</f>
        <v/>
      </c>
      <c r="D892" s="292" t="str">
        <f ca="1">IF(ISERROR($S892),"",OFFSET('Smelter Reference List'!$C$4,$S892-4,0)&amp;"")</f>
        <v/>
      </c>
      <c r="E892" s="292" t="str">
        <f ca="1">IF(ISERROR($S892),"",OFFSET('Smelter Reference List'!$D$4,$S892-4,0)&amp;"")</f>
        <v/>
      </c>
      <c r="F892" s="292" t="str">
        <f ca="1">IF(ISERROR($S892),"",OFFSET('Smelter Reference List'!$E$4,$S892-4,0))</f>
        <v/>
      </c>
      <c r="G892" s="292" t="str">
        <f ca="1">IF(C892=$U$4,"Enter smelter details", IF(ISERROR($S892),"",OFFSET('Smelter Reference List'!$F$4,$S892-4,0)))</f>
        <v/>
      </c>
      <c r="H892" s="293" t="str">
        <f ca="1">IF(ISERROR($S892),"",OFFSET('Smelter Reference List'!$G$4,$S892-4,0))</f>
        <v/>
      </c>
      <c r="I892" s="294" t="str">
        <f ca="1">IF(ISERROR($S892),"",OFFSET('Smelter Reference List'!$H$4,$S892-4,0))</f>
        <v/>
      </c>
      <c r="J892" s="294" t="str">
        <f ca="1">IF(ISERROR($S892),"",OFFSET('Smelter Reference List'!$I$4,$S892-4,0))</f>
        <v/>
      </c>
      <c r="K892" s="295"/>
      <c r="L892" s="295"/>
      <c r="M892" s="295"/>
      <c r="N892" s="295"/>
      <c r="O892" s="295"/>
      <c r="P892" s="295"/>
      <c r="Q892" s="296"/>
      <c r="R892" s="227"/>
      <c r="S892" s="228" t="e">
        <f>IF(C892="",NA(),MATCH($B892&amp;$C892,'Smelter Reference List'!$J:$J,0))</f>
        <v>#N/A</v>
      </c>
      <c r="T892" s="229"/>
      <c r="U892" s="229">
        <f t="shared" ca="1" si="28"/>
        <v>0</v>
      </c>
      <c r="V892" s="229"/>
      <c r="W892" s="229"/>
      <c r="Y892" s="223" t="str">
        <f t="shared" si="29"/>
        <v/>
      </c>
    </row>
    <row r="893" spans="1:25" s="223" customFormat="1" ht="20.25">
      <c r="A893" s="291"/>
      <c r="B893" s="292" t="str">
        <f>IF(LEN(A893)=0,"",INDEX('Smelter Reference List'!$A:$A,MATCH($A893,'Smelter Reference List'!$E:$E,0)))</f>
        <v/>
      </c>
      <c r="C893" s="298" t="str">
        <f>IF(LEN(A893)=0,"",INDEX('Smelter Reference List'!$C:$C,MATCH($A893,'Smelter Reference List'!$E:$E,0)))</f>
        <v/>
      </c>
      <c r="D893" s="292" t="str">
        <f ca="1">IF(ISERROR($S893),"",OFFSET('Smelter Reference List'!$C$4,$S893-4,0)&amp;"")</f>
        <v/>
      </c>
      <c r="E893" s="292" t="str">
        <f ca="1">IF(ISERROR($S893),"",OFFSET('Smelter Reference List'!$D$4,$S893-4,0)&amp;"")</f>
        <v/>
      </c>
      <c r="F893" s="292" t="str">
        <f ca="1">IF(ISERROR($S893),"",OFFSET('Smelter Reference List'!$E$4,$S893-4,0))</f>
        <v/>
      </c>
      <c r="G893" s="292" t="str">
        <f ca="1">IF(C893=$U$4,"Enter smelter details", IF(ISERROR($S893),"",OFFSET('Smelter Reference List'!$F$4,$S893-4,0)))</f>
        <v/>
      </c>
      <c r="H893" s="293" t="str">
        <f ca="1">IF(ISERROR($S893),"",OFFSET('Smelter Reference List'!$G$4,$S893-4,0))</f>
        <v/>
      </c>
      <c r="I893" s="294" t="str">
        <f ca="1">IF(ISERROR($S893),"",OFFSET('Smelter Reference List'!$H$4,$S893-4,0))</f>
        <v/>
      </c>
      <c r="J893" s="294" t="str">
        <f ca="1">IF(ISERROR($S893),"",OFFSET('Smelter Reference List'!$I$4,$S893-4,0))</f>
        <v/>
      </c>
      <c r="K893" s="295"/>
      <c r="L893" s="295"/>
      <c r="M893" s="295"/>
      <c r="N893" s="295"/>
      <c r="O893" s="295"/>
      <c r="P893" s="295"/>
      <c r="Q893" s="296"/>
      <c r="R893" s="227"/>
      <c r="S893" s="228" t="e">
        <f>IF(C893="",NA(),MATCH($B893&amp;$C893,'Smelter Reference List'!$J:$J,0))</f>
        <v>#N/A</v>
      </c>
      <c r="T893" s="229"/>
      <c r="U893" s="229">
        <f t="shared" ca="1" si="28"/>
        <v>0</v>
      </c>
      <c r="V893" s="229"/>
      <c r="W893" s="229"/>
      <c r="Y893" s="223" t="str">
        <f t="shared" si="29"/>
        <v/>
      </c>
    </row>
    <row r="894" spans="1:25" s="223" customFormat="1" ht="20.25">
      <c r="A894" s="291"/>
      <c r="B894" s="292" t="str">
        <f>IF(LEN(A894)=0,"",INDEX('Smelter Reference List'!$A:$A,MATCH($A894,'Smelter Reference List'!$E:$E,0)))</f>
        <v/>
      </c>
      <c r="C894" s="298" t="str">
        <f>IF(LEN(A894)=0,"",INDEX('Smelter Reference List'!$C:$C,MATCH($A894,'Smelter Reference List'!$E:$E,0)))</f>
        <v/>
      </c>
      <c r="D894" s="292" t="str">
        <f ca="1">IF(ISERROR($S894),"",OFFSET('Smelter Reference List'!$C$4,$S894-4,0)&amp;"")</f>
        <v/>
      </c>
      <c r="E894" s="292" t="str">
        <f ca="1">IF(ISERROR($S894),"",OFFSET('Smelter Reference List'!$D$4,$S894-4,0)&amp;"")</f>
        <v/>
      </c>
      <c r="F894" s="292" t="str">
        <f ca="1">IF(ISERROR($S894),"",OFFSET('Smelter Reference List'!$E$4,$S894-4,0))</f>
        <v/>
      </c>
      <c r="G894" s="292" t="str">
        <f ca="1">IF(C894=$U$4,"Enter smelter details", IF(ISERROR($S894),"",OFFSET('Smelter Reference List'!$F$4,$S894-4,0)))</f>
        <v/>
      </c>
      <c r="H894" s="293" t="str">
        <f ca="1">IF(ISERROR($S894),"",OFFSET('Smelter Reference List'!$G$4,$S894-4,0))</f>
        <v/>
      </c>
      <c r="I894" s="294" t="str">
        <f ca="1">IF(ISERROR($S894),"",OFFSET('Smelter Reference List'!$H$4,$S894-4,0))</f>
        <v/>
      </c>
      <c r="J894" s="294" t="str">
        <f ca="1">IF(ISERROR($S894),"",OFFSET('Smelter Reference List'!$I$4,$S894-4,0))</f>
        <v/>
      </c>
      <c r="K894" s="295"/>
      <c r="L894" s="295"/>
      <c r="M894" s="295"/>
      <c r="N894" s="295"/>
      <c r="O894" s="295"/>
      <c r="P894" s="295"/>
      <c r="Q894" s="296"/>
      <c r="R894" s="227"/>
      <c r="S894" s="228" t="e">
        <f>IF(C894="",NA(),MATCH($B894&amp;$C894,'Smelter Reference List'!$J:$J,0))</f>
        <v>#N/A</v>
      </c>
      <c r="T894" s="229"/>
      <c r="U894" s="229">
        <f t="shared" ca="1" si="28"/>
        <v>0</v>
      </c>
      <c r="V894" s="229"/>
      <c r="W894" s="229"/>
      <c r="Y894" s="223" t="str">
        <f t="shared" si="29"/>
        <v/>
      </c>
    </row>
    <row r="895" spans="1:25" s="223" customFormat="1" ht="20.25">
      <c r="A895" s="291"/>
      <c r="B895" s="292" t="str">
        <f>IF(LEN(A895)=0,"",INDEX('Smelter Reference List'!$A:$A,MATCH($A895,'Smelter Reference List'!$E:$E,0)))</f>
        <v/>
      </c>
      <c r="C895" s="298" t="str">
        <f>IF(LEN(A895)=0,"",INDEX('Smelter Reference List'!$C:$C,MATCH($A895,'Smelter Reference List'!$E:$E,0)))</f>
        <v/>
      </c>
      <c r="D895" s="292" t="str">
        <f ca="1">IF(ISERROR($S895),"",OFFSET('Smelter Reference List'!$C$4,$S895-4,0)&amp;"")</f>
        <v/>
      </c>
      <c r="E895" s="292" t="str">
        <f ca="1">IF(ISERROR($S895),"",OFFSET('Smelter Reference List'!$D$4,$S895-4,0)&amp;"")</f>
        <v/>
      </c>
      <c r="F895" s="292" t="str">
        <f ca="1">IF(ISERROR($S895),"",OFFSET('Smelter Reference List'!$E$4,$S895-4,0))</f>
        <v/>
      </c>
      <c r="G895" s="292" t="str">
        <f ca="1">IF(C895=$U$4,"Enter smelter details", IF(ISERROR($S895),"",OFFSET('Smelter Reference List'!$F$4,$S895-4,0)))</f>
        <v/>
      </c>
      <c r="H895" s="293" t="str">
        <f ca="1">IF(ISERROR($S895),"",OFFSET('Smelter Reference List'!$G$4,$S895-4,0))</f>
        <v/>
      </c>
      <c r="I895" s="294" t="str">
        <f ca="1">IF(ISERROR($S895),"",OFFSET('Smelter Reference List'!$H$4,$S895-4,0))</f>
        <v/>
      </c>
      <c r="J895" s="294" t="str">
        <f ca="1">IF(ISERROR($S895),"",OFFSET('Smelter Reference List'!$I$4,$S895-4,0))</f>
        <v/>
      </c>
      <c r="K895" s="295"/>
      <c r="L895" s="295"/>
      <c r="M895" s="295"/>
      <c r="N895" s="295"/>
      <c r="O895" s="295"/>
      <c r="P895" s="295"/>
      <c r="Q895" s="296"/>
      <c r="R895" s="227"/>
      <c r="S895" s="228" t="e">
        <f>IF(C895="",NA(),MATCH($B895&amp;$C895,'Smelter Reference List'!$J:$J,0))</f>
        <v>#N/A</v>
      </c>
      <c r="T895" s="229"/>
      <c r="U895" s="229">
        <f t="shared" ca="1" si="28"/>
        <v>0</v>
      </c>
      <c r="V895" s="229"/>
      <c r="W895" s="229"/>
      <c r="Y895" s="223" t="str">
        <f t="shared" si="29"/>
        <v/>
      </c>
    </row>
    <row r="896" spans="1:25" s="223" customFormat="1" ht="20.25">
      <c r="A896" s="291"/>
      <c r="B896" s="292" t="str">
        <f>IF(LEN(A896)=0,"",INDEX('Smelter Reference List'!$A:$A,MATCH($A896,'Smelter Reference List'!$E:$E,0)))</f>
        <v/>
      </c>
      <c r="C896" s="298" t="str">
        <f>IF(LEN(A896)=0,"",INDEX('Smelter Reference List'!$C:$C,MATCH($A896,'Smelter Reference List'!$E:$E,0)))</f>
        <v/>
      </c>
      <c r="D896" s="292" t="str">
        <f ca="1">IF(ISERROR($S896),"",OFFSET('Smelter Reference List'!$C$4,$S896-4,0)&amp;"")</f>
        <v/>
      </c>
      <c r="E896" s="292" t="str">
        <f ca="1">IF(ISERROR($S896),"",OFFSET('Smelter Reference List'!$D$4,$S896-4,0)&amp;"")</f>
        <v/>
      </c>
      <c r="F896" s="292" t="str">
        <f ca="1">IF(ISERROR($S896),"",OFFSET('Smelter Reference List'!$E$4,$S896-4,0))</f>
        <v/>
      </c>
      <c r="G896" s="292" t="str">
        <f ca="1">IF(C896=$U$4,"Enter smelter details", IF(ISERROR($S896),"",OFFSET('Smelter Reference List'!$F$4,$S896-4,0)))</f>
        <v/>
      </c>
      <c r="H896" s="293" t="str">
        <f ca="1">IF(ISERROR($S896),"",OFFSET('Smelter Reference List'!$G$4,$S896-4,0))</f>
        <v/>
      </c>
      <c r="I896" s="294" t="str">
        <f ca="1">IF(ISERROR($S896),"",OFFSET('Smelter Reference List'!$H$4,$S896-4,0))</f>
        <v/>
      </c>
      <c r="J896" s="294" t="str">
        <f ca="1">IF(ISERROR($S896),"",OFFSET('Smelter Reference List'!$I$4,$S896-4,0))</f>
        <v/>
      </c>
      <c r="K896" s="295"/>
      <c r="L896" s="295"/>
      <c r="M896" s="295"/>
      <c r="N896" s="295"/>
      <c r="O896" s="295"/>
      <c r="P896" s="295"/>
      <c r="Q896" s="296"/>
      <c r="R896" s="227"/>
      <c r="S896" s="228" t="e">
        <f>IF(C896="",NA(),MATCH($B896&amp;$C896,'Smelter Reference List'!$J:$J,0))</f>
        <v>#N/A</v>
      </c>
      <c r="T896" s="229"/>
      <c r="U896" s="229">
        <f t="shared" ca="1" si="28"/>
        <v>0</v>
      </c>
      <c r="V896" s="229"/>
      <c r="W896" s="229"/>
      <c r="Y896" s="223" t="str">
        <f t="shared" si="29"/>
        <v/>
      </c>
    </row>
    <row r="897" spans="1:25" s="223" customFormat="1" ht="20.25">
      <c r="A897" s="291"/>
      <c r="B897" s="292" t="str">
        <f>IF(LEN(A897)=0,"",INDEX('Smelter Reference List'!$A:$A,MATCH($A897,'Smelter Reference List'!$E:$E,0)))</f>
        <v/>
      </c>
      <c r="C897" s="298" t="str">
        <f>IF(LEN(A897)=0,"",INDEX('Smelter Reference List'!$C:$C,MATCH($A897,'Smelter Reference List'!$E:$E,0)))</f>
        <v/>
      </c>
      <c r="D897" s="292" t="str">
        <f ca="1">IF(ISERROR($S897),"",OFFSET('Smelter Reference List'!$C$4,$S897-4,0)&amp;"")</f>
        <v/>
      </c>
      <c r="E897" s="292" t="str">
        <f ca="1">IF(ISERROR($S897),"",OFFSET('Smelter Reference List'!$D$4,$S897-4,0)&amp;"")</f>
        <v/>
      </c>
      <c r="F897" s="292" t="str">
        <f ca="1">IF(ISERROR($S897),"",OFFSET('Smelter Reference List'!$E$4,$S897-4,0))</f>
        <v/>
      </c>
      <c r="G897" s="292" t="str">
        <f ca="1">IF(C897=$U$4,"Enter smelter details", IF(ISERROR($S897),"",OFFSET('Smelter Reference List'!$F$4,$S897-4,0)))</f>
        <v/>
      </c>
      <c r="H897" s="293" t="str">
        <f ca="1">IF(ISERROR($S897),"",OFFSET('Smelter Reference List'!$G$4,$S897-4,0))</f>
        <v/>
      </c>
      <c r="I897" s="294" t="str">
        <f ca="1">IF(ISERROR($S897),"",OFFSET('Smelter Reference List'!$H$4,$S897-4,0))</f>
        <v/>
      </c>
      <c r="J897" s="294" t="str">
        <f ca="1">IF(ISERROR($S897),"",OFFSET('Smelter Reference List'!$I$4,$S897-4,0))</f>
        <v/>
      </c>
      <c r="K897" s="295"/>
      <c r="L897" s="295"/>
      <c r="M897" s="295"/>
      <c r="N897" s="295"/>
      <c r="O897" s="295"/>
      <c r="P897" s="295"/>
      <c r="Q897" s="296"/>
      <c r="R897" s="227"/>
      <c r="S897" s="228" t="e">
        <f>IF(C897="",NA(),MATCH($B897&amp;$C897,'Smelter Reference List'!$J:$J,0))</f>
        <v>#N/A</v>
      </c>
      <c r="T897" s="229"/>
      <c r="U897" s="229">
        <f t="shared" ca="1" si="28"/>
        <v>0</v>
      </c>
      <c r="V897" s="229"/>
      <c r="W897" s="229"/>
      <c r="Y897" s="223" t="str">
        <f t="shared" si="29"/>
        <v/>
      </c>
    </row>
    <row r="898" spans="1:25" s="223" customFormat="1" ht="20.25">
      <c r="A898" s="291"/>
      <c r="B898" s="292" t="str">
        <f>IF(LEN(A898)=0,"",INDEX('Smelter Reference List'!$A:$A,MATCH($A898,'Smelter Reference List'!$E:$E,0)))</f>
        <v/>
      </c>
      <c r="C898" s="298" t="str">
        <f>IF(LEN(A898)=0,"",INDEX('Smelter Reference List'!$C:$C,MATCH($A898,'Smelter Reference List'!$E:$E,0)))</f>
        <v/>
      </c>
      <c r="D898" s="292" t="str">
        <f ca="1">IF(ISERROR($S898),"",OFFSET('Smelter Reference List'!$C$4,$S898-4,0)&amp;"")</f>
        <v/>
      </c>
      <c r="E898" s="292" t="str">
        <f ca="1">IF(ISERROR($S898),"",OFFSET('Smelter Reference List'!$D$4,$S898-4,0)&amp;"")</f>
        <v/>
      </c>
      <c r="F898" s="292" t="str">
        <f ca="1">IF(ISERROR($S898),"",OFFSET('Smelter Reference List'!$E$4,$S898-4,0))</f>
        <v/>
      </c>
      <c r="G898" s="292" t="str">
        <f ca="1">IF(C898=$U$4,"Enter smelter details", IF(ISERROR($S898),"",OFFSET('Smelter Reference List'!$F$4,$S898-4,0)))</f>
        <v/>
      </c>
      <c r="H898" s="293" t="str">
        <f ca="1">IF(ISERROR($S898),"",OFFSET('Smelter Reference List'!$G$4,$S898-4,0))</f>
        <v/>
      </c>
      <c r="I898" s="294" t="str">
        <f ca="1">IF(ISERROR($S898),"",OFFSET('Smelter Reference List'!$H$4,$S898-4,0))</f>
        <v/>
      </c>
      <c r="J898" s="294" t="str">
        <f ca="1">IF(ISERROR($S898),"",OFFSET('Smelter Reference List'!$I$4,$S898-4,0))</f>
        <v/>
      </c>
      <c r="K898" s="295"/>
      <c r="L898" s="295"/>
      <c r="M898" s="295"/>
      <c r="N898" s="295"/>
      <c r="O898" s="295"/>
      <c r="P898" s="295"/>
      <c r="Q898" s="296"/>
      <c r="R898" s="227"/>
      <c r="S898" s="228" t="e">
        <f>IF(C898="",NA(),MATCH($B898&amp;$C898,'Smelter Reference List'!$J:$J,0))</f>
        <v>#N/A</v>
      </c>
      <c r="T898" s="229"/>
      <c r="U898" s="229">
        <f t="shared" ca="1" si="28"/>
        <v>0</v>
      </c>
      <c r="V898" s="229"/>
      <c r="W898" s="229"/>
      <c r="Y898" s="223" t="str">
        <f t="shared" si="29"/>
        <v/>
      </c>
    </row>
    <row r="899" spans="1:25" s="223" customFormat="1" ht="20.25">
      <c r="A899" s="291"/>
      <c r="B899" s="292" t="str">
        <f>IF(LEN(A899)=0,"",INDEX('Smelter Reference List'!$A:$A,MATCH($A899,'Smelter Reference List'!$E:$E,0)))</f>
        <v/>
      </c>
      <c r="C899" s="298" t="str">
        <f>IF(LEN(A899)=0,"",INDEX('Smelter Reference List'!$C:$C,MATCH($A899,'Smelter Reference List'!$E:$E,0)))</f>
        <v/>
      </c>
      <c r="D899" s="292" t="str">
        <f ca="1">IF(ISERROR($S899),"",OFFSET('Smelter Reference List'!$C$4,$S899-4,0)&amp;"")</f>
        <v/>
      </c>
      <c r="E899" s="292" t="str">
        <f ca="1">IF(ISERROR($S899),"",OFFSET('Smelter Reference List'!$D$4,$S899-4,0)&amp;"")</f>
        <v/>
      </c>
      <c r="F899" s="292" t="str">
        <f ca="1">IF(ISERROR($S899),"",OFFSET('Smelter Reference List'!$E$4,$S899-4,0))</f>
        <v/>
      </c>
      <c r="G899" s="292" t="str">
        <f ca="1">IF(C899=$U$4,"Enter smelter details", IF(ISERROR($S899),"",OFFSET('Smelter Reference List'!$F$4,$S899-4,0)))</f>
        <v/>
      </c>
      <c r="H899" s="293" t="str">
        <f ca="1">IF(ISERROR($S899),"",OFFSET('Smelter Reference List'!$G$4,$S899-4,0))</f>
        <v/>
      </c>
      <c r="I899" s="294" t="str">
        <f ca="1">IF(ISERROR($S899),"",OFFSET('Smelter Reference List'!$H$4,$S899-4,0))</f>
        <v/>
      </c>
      <c r="J899" s="294" t="str">
        <f ca="1">IF(ISERROR($S899),"",OFFSET('Smelter Reference List'!$I$4,$S899-4,0))</f>
        <v/>
      </c>
      <c r="K899" s="295"/>
      <c r="L899" s="295"/>
      <c r="M899" s="295"/>
      <c r="N899" s="295"/>
      <c r="O899" s="295"/>
      <c r="P899" s="295"/>
      <c r="Q899" s="296"/>
      <c r="R899" s="227"/>
      <c r="S899" s="228" t="e">
        <f>IF(C899="",NA(),MATCH($B899&amp;$C899,'Smelter Reference List'!$J:$J,0))</f>
        <v>#N/A</v>
      </c>
      <c r="T899" s="229"/>
      <c r="U899" s="229">
        <f t="shared" ca="1" si="28"/>
        <v>0</v>
      </c>
      <c r="V899" s="229"/>
      <c r="W899" s="229"/>
      <c r="Y899" s="223" t="str">
        <f t="shared" si="29"/>
        <v/>
      </c>
    </row>
    <row r="900" spans="1:25" s="223" customFormat="1" ht="20.25">
      <c r="A900" s="291"/>
      <c r="B900" s="292" t="str">
        <f>IF(LEN(A900)=0,"",INDEX('Smelter Reference List'!$A:$A,MATCH($A900,'Smelter Reference List'!$E:$E,0)))</f>
        <v/>
      </c>
      <c r="C900" s="298" t="str">
        <f>IF(LEN(A900)=0,"",INDEX('Smelter Reference List'!$C:$C,MATCH($A900,'Smelter Reference List'!$E:$E,0)))</f>
        <v/>
      </c>
      <c r="D900" s="292" t="str">
        <f ca="1">IF(ISERROR($S900),"",OFFSET('Smelter Reference List'!$C$4,$S900-4,0)&amp;"")</f>
        <v/>
      </c>
      <c r="E900" s="292" t="str">
        <f ca="1">IF(ISERROR($S900),"",OFFSET('Smelter Reference List'!$D$4,$S900-4,0)&amp;"")</f>
        <v/>
      </c>
      <c r="F900" s="292" t="str">
        <f ca="1">IF(ISERROR($S900),"",OFFSET('Smelter Reference List'!$E$4,$S900-4,0))</f>
        <v/>
      </c>
      <c r="G900" s="292" t="str">
        <f ca="1">IF(C900=$U$4,"Enter smelter details", IF(ISERROR($S900),"",OFFSET('Smelter Reference List'!$F$4,$S900-4,0)))</f>
        <v/>
      </c>
      <c r="H900" s="293" t="str">
        <f ca="1">IF(ISERROR($S900),"",OFFSET('Smelter Reference List'!$G$4,$S900-4,0))</f>
        <v/>
      </c>
      <c r="I900" s="294" t="str">
        <f ca="1">IF(ISERROR($S900),"",OFFSET('Smelter Reference List'!$H$4,$S900-4,0))</f>
        <v/>
      </c>
      <c r="J900" s="294" t="str">
        <f ca="1">IF(ISERROR($S900),"",OFFSET('Smelter Reference List'!$I$4,$S900-4,0))</f>
        <v/>
      </c>
      <c r="K900" s="295"/>
      <c r="L900" s="295"/>
      <c r="M900" s="295"/>
      <c r="N900" s="295"/>
      <c r="O900" s="295"/>
      <c r="P900" s="295"/>
      <c r="Q900" s="296"/>
      <c r="R900" s="227"/>
      <c r="S900" s="228" t="e">
        <f>IF(C900="",NA(),MATCH($B900&amp;$C900,'Smelter Reference List'!$J:$J,0))</f>
        <v>#N/A</v>
      </c>
      <c r="T900" s="229"/>
      <c r="U900" s="229">
        <f t="shared" ca="1" si="28"/>
        <v>0</v>
      </c>
      <c r="V900" s="229"/>
      <c r="W900" s="229"/>
      <c r="Y900" s="223" t="str">
        <f t="shared" si="29"/>
        <v/>
      </c>
    </row>
    <row r="901" spans="1:25" s="223" customFormat="1" ht="20.25">
      <c r="A901" s="291"/>
      <c r="B901" s="292" t="str">
        <f>IF(LEN(A901)=0,"",INDEX('Smelter Reference List'!$A:$A,MATCH($A901,'Smelter Reference List'!$E:$E,0)))</f>
        <v/>
      </c>
      <c r="C901" s="298" t="str">
        <f>IF(LEN(A901)=0,"",INDEX('Smelter Reference List'!$C:$C,MATCH($A901,'Smelter Reference List'!$E:$E,0)))</f>
        <v/>
      </c>
      <c r="D901" s="292" t="str">
        <f ca="1">IF(ISERROR($S901),"",OFFSET('Smelter Reference List'!$C$4,$S901-4,0)&amp;"")</f>
        <v/>
      </c>
      <c r="E901" s="292" t="str">
        <f ca="1">IF(ISERROR($S901),"",OFFSET('Smelter Reference List'!$D$4,$S901-4,0)&amp;"")</f>
        <v/>
      </c>
      <c r="F901" s="292" t="str">
        <f ca="1">IF(ISERROR($S901),"",OFFSET('Smelter Reference List'!$E$4,$S901-4,0))</f>
        <v/>
      </c>
      <c r="G901" s="292" t="str">
        <f ca="1">IF(C901=$U$4,"Enter smelter details", IF(ISERROR($S901),"",OFFSET('Smelter Reference List'!$F$4,$S901-4,0)))</f>
        <v/>
      </c>
      <c r="H901" s="293" t="str">
        <f ca="1">IF(ISERROR($S901),"",OFFSET('Smelter Reference List'!$G$4,$S901-4,0))</f>
        <v/>
      </c>
      <c r="I901" s="294" t="str">
        <f ca="1">IF(ISERROR($S901),"",OFFSET('Smelter Reference List'!$H$4,$S901-4,0))</f>
        <v/>
      </c>
      <c r="J901" s="294" t="str">
        <f ca="1">IF(ISERROR($S901),"",OFFSET('Smelter Reference List'!$I$4,$S901-4,0))</f>
        <v/>
      </c>
      <c r="K901" s="295"/>
      <c r="L901" s="295"/>
      <c r="M901" s="295"/>
      <c r="N901" s="295"/>
      <c r="O901" s="295"/>
      <c r="P901" s="295"/>
      <c r="Q901" s="296"/>
      <c r="R901" s="227"/>
      <c r="S901" s="228" t="e">
        <f>IF(C901="",NA(),MATCH($B901&amp;$C901,'Smelter Reference List'!$J:$J,0))</f>
        <v>#N/A</v>
      </c>
      <c r="T901" s="229"/>
      <c r="U901" s="229">
        <f t="shared" ref="U901:U964" ca="1" si="30">IF(AND(C901="Smelter not listed",OR(LEN(D901)=0,LEN(E901)=0)),1,0)</f>
        <v>0</v>
      </c>
      <c r="V901" s="229"/>
      <c r="W901" s="229"/>
      <c r="Y901" s="223" t="str">
        <f t="shared" ref="Y901:Y964" si="31">B901&amp;C901</f>
        <v/>
      </c>
    </row>
    <row r="902" spans="1:25" s="223" customFormat="1" ht="20.25">
      <c r="A902" s="291"/>
      <c r="B902" s="292" t="str">
        <f>IF(LEN(A902)=0,"",INDEX('Smelter Reference List'!$A:$A,MATCH($A902,'Smelter Reference List'!$E:$E,0)))</f>
        <v/>
      </c>
      <c r="C902" s="298" t="str">
        <f>IF(LEN(A902)=0,"",INDEX('Smelter Reference List'!$C:$C,MATCH($A902,'Smelter Reference List'!$E:$E,0)))</f>
        <v/>
      </c>
      <c r="D902" s="292" t="str">
        <f ca="1">IF(ISERROR($S902),"",OFFSET('Smelter Reference List'!$C$4,$S902-4,0)&amp;"")</f>
        <v/>
      </c>
      <c r="E902" s="292" t="str">
        <f ca="1">IF(ISERROR($S902),"",OFFSET('Smelter Reference List'!$D$4,$S902-4,0)&amp;"")</f>
        <v/>
      </c>
      <c r="F902" s="292" t="str">
        <f ca="1">IF(ISERROR($S902),"",OFFSET('Smelter Reference List'!$E$4,$S902-4,0))</f>
        <v/>
      </c>
      <c r="G902" s="292" t="str">
        <f ca="1">IF(C902=$U$4,"Enter smelter details", IF(ISERROR($S902),"",OFFSET('Smelter Reference List'!$F$4,$S902-4,0)))</f>
        <v/>
      </c>
      <c r="H902" s="293" t="str">
        <f ca="1">IF(ISERROR($S902),"",OFFSET('Smelter Reference List'!$G$4,$S902-4,0))</f>
        <v/>
      </c>
      <c r="I902" s="294" t="str">
        <f ca="1">IF(ISERROR($S902),"",OFFSET('Smelter Reference List'!$H$4,$S902-4,0))</f>
        <v/>
      </c>
      <c r="J902" s="294" t="str">
        <f ca="1">IF(ISERROR($S902),"",OFFSET('Smelter Reference List'!$I$4,$S902-4,0))</f>
        <v/>
      </c>
      <c r="K902" s="295"/>
      <c r="L902" s="295"/>
      <c r="M902" s="295"/>
      <c r="N902" s="295"/>
      <c r="O902" s="295"/>
      <c r="P902" s="295"/>
      <c r="Q902" s="296"/>
      <c r="R902" s="227"/>
      <c r="S902" s="228" t="e">
        <f>IF(C902="",NA(),MATCH($B902&amp;$C902,'Smelter Reference List'!$J:$J,0))</f>
        <v>#N/A</v>
      </c>
      <c r="T902" s="229"/>
      <c r="U902" s="229">
        <f t="shared" ca="1" si="30"/>
        <v>0</v>
      </c>
      <c r="V902" s="229"/>
      <c r="W902" s="229"/>
      <c r="Y902" s="223" t="str">
        <f t="shared" si="31"/>
        <v/>
      </c>
    </row>
    <row r="903" spans="1:25" s="223" customFormat="1" ht="20.25">
      <c r="A903" s="291"/>
      <c r="B903" s="292" t="str">
        <f>IF(LEN(A903)=0,"",INDEX('Smelter Reference List'!$A:$A,MATCH($A903,'Smelter Reference List'!$E:$E,0)))</f>
        <v/>
      </c>
      <c r="C903" s="298" t="str">
        <f>IF(LEN(A903)=0,"",INDEX('Smelter Reference List'!$C:$C,MATCH($A903,'Smelter Reference List'!$E:$E,0)))</f>
        <v/>
      </c>
      <c r="D903" s="292" t="str">
        <f ca="1">IF(ISERROR($S903),"",OFFSET('Smelter Reference List'!$C$4,$S903-4,0)&amp;"")</f>
        <v/>
      </c>
      <c r="E903" s="292" t="str">
        <f ca="1">IF(ISERROR($S903),"",OFFSET('Smelter Reference List'!$D$4,$S903-4,0)&amp;"")</f>
        <v/>
      </c>
      <c r="F903" s="292" t="str">
        <f ca="1">IF(ISERROR($S903),"",OFFSET('Smelter Reference List'!$E$4,$S903-4,0))</f>
        <v/>
      </c>
      <c r="G903" s="292" t="str">
        <f ca="1">IF(C903=$U$4,"Enter smelter details", IF(ISERROR($S903),"",OFFSET('Smelter Reference List'!$F$4,$S903-4,0)))</f>
        <v/>
      </c>
      <c r="H903" s="293" t="str">
        <f ca="1">IF(ISERROR($S903),"",OFFSET('Smelter Reference List'!$G$4,$S903-4,0))</f>
        <v/>
      </c>
      <c r="I903" s="294" t="str">
        <f ca="1">IF(ISERROR($S903),"",OFFSET('Smelter Reference List'!$H$4,$S903-4,0))</f>
        <v/>
      </c>
      <c r="J903" s="294" t="str">
        <f ca="1">IF(ISERROR($S903),"",OFFSET('Smelter Reference List'!$I$4,$S903-4,0))</f>
        <v/>
      </c>
      <c r="K903" s="295"/>
      <c r="L903" s="295"/>
      <c r="M903" s="295"/>
      <c r="N903" s="295"/>
      <c r="O903" s="295"/>
      <c r="P903" s="295"/>
      <c r="Q903" s="296"/>
      <c r="R903" s="227"/>
      <c r="S903" s="228" t="e">
        <f>IF(C903="",NA(),MATCH($B903&amp;$C903,'Smelter Reference List'!$J:$J,0))</f>
        <v>#N/A</v>
      </c>
      <c r="T903" s="229"/>
      <c r="U903" s="229">
        <f t="shared" ca="1" si="30"/>
        <v>0</v>
      </c>
      <c r="V903" s="229"/>
      <c r="W903" s="229"/>
      <c r="Y903" s="223" t="str">
        <f t="shared" si="31"/>
        <v/>
      </c>
    </row>
    <row r="904" spans="1:25" s="223" customFormat="1" ht="20.25">
      <c r="A904" s="291"/>
      <c r="B904" s="292" t="str">
        <f>IF(LEN(A904)=0,"",INDEX('Smelter Reference List'!$A:$A,MATCH($A904,'Smelter Reference List'!$E:$E,0)))</f>
        <v/>
      </c>
      <c r="C904" s="298" t="str">
        <f>IF(LEN(A904)=0,"",INDEX('Smelter Reference List'!$C:$C,MATCH($A904,'Smelter Reference List'!$E:$E,0)))</f>
        <v/>
      </c>
      <c r="D904" s="292" t="str">
        <f ca="1">IF(ISERROR($S904),"",OFFSET('Smelter Reference List'!$C$4,$S904-4,0)&amp;"")</f>
        <v/>
      </c>
      <c r="E904" s="292" t="str">
        <f ca="1">IF(ISERROR($S904),"",OFFSET('Smelter Reference List'!$D$4,$S904-4,0)&amp;"")</f>
        <v/>
      </c>
      <c r="F904" s="292" t="str">
        <f ca="1">IF(ISERROR($S904),"",OFFSET('Smelter Reference List'!$E$4,$S904-4,0))</f>
        <v/>
      </c>
      <c r="G904" s="292" t="str">
        <f ca="1">IF(C904=$U$4,"Enter smelter details", IF(ISERROR($S904),"",OFFSET('Smelter Reference List'!$F$4,$S904-4,0)))</f>
        <v/>
      </c>
      <c r="H904" s="293" t="str">
        <f ca="1">IF(ISERROR($S904),"",OFFSET('Smelter Reference List'!$G$4,$S904-4,0))</f>
        <v/>
      </c>
      <c r="I904" s="294" t="str">
        <f ca="1">IF(ISERROR($S904),"",OFFSET('Smelter Reference List'!$H$4,$S904-4,0))</f>
        <v/>
      </c>
      <c r="J904" s="294" t="str">
        <f ca="1">IF(ISERROR($S904),"",OFFSET('Smelter Reference List'!$I$4,$S904-4,0))</f>
        <v/>
      </c>
      <c r="K904" s="295"/>
      <c r="L904" s="295"/>
      <c r="M904" s="295"/>
      <c r="N904" s="295"/>
      <c r="O904" s="295"/>
      <c r="P904" s="295"/>
      <c r="Q904" s="296"/>
      <c r="R904" s="227"/>
      <c r="S904" s="228" t="e">
        <f>IF(C904="",NA(),MATCH($B904&amp;$C904,'Smelter Reference List'!$J:$J,0))</f>
        <v>#N/A</v>
      </c>
      <c r="T904" s="229"/>
      <c r="U904" s="229">
        <f t="shared" ca="1" si="30"/>
        <v>0</v>
      </c>
      <c r="V904" s="229"/>
      <c r="W904" s="229"/>
      <c r="Y904" s="223" t="str">
        <f t="shared" si="31"/>
        <v/>
      </c>
    </row>
    <row r="905" spans="1:25" s="223" customFormat="1" ht="20.25">
      <c r="A905" s="291"/>
      <c r="B905" s="292" t="str">
        <f>IF(LEN(A905)=0,"",INDEX('Smelter Reference List'!$A:$A,MATCH($A905,'Smelter Reference List'!$E:$E,0)))</f>
        <v/>
      </c>
      <c r="C905" s="298" t="str">
        <f>IF(LEN(A905)=0,"",INDEX('Smelter Reference List'!$C:$C,MATCH($A905,'Smelter Reference List'!$E:$E,0)))</f>
        <v/>
      </c>
      <c r="D905" s="292" t="str">
        <f ca="1">IF(ISERROR($S905),"",OFFSET('Smelter Reference List'!$C$4,$S905-4,0)&amp;"")</f>
        <v/>
      </c>
      <c r="E905" s="292" t="str">
        <f ca="1">IF(ISERROR($S905),"",OFFSET('Smelter Reference List'!$D$4,$S905-4,0)&amp;"")</f>
        <v/>
      </c>
      <c r="F905" s="292" t="str">
        <f ca="1">IF(ISERROR($S905),"",OFFSET('Smelter Reference List'!$E$4,$S905-4,0))</f>
        <v/>
      </c>
      <c r="G905" s="292" t="str">
        <f ca="1">IF(C905=$U$4,"Enter smelter details", IF(ISERROR($S905),"",OFFSET('Smelter Reference List'!$F$4,$S905-4,0)))</f>
        <v/>
      </c>
      <c r="H905" s="293" t="str">
        <f ca="1">IF(ISERROR($S905),"",OFFSET('Smelter Reference List'!$G$4,$S905-4,0))</f>
        <v/>
      </c>
      <c r="I905" s="294" t="str">
        <f ca="1">IF(ISERROR($S905),"",OFFSET('Smelter Reference List'!$H$4,$S905-4,0))</f>
        <v/>
      </c>
      <c r="J905" s="294" t="str">
        <f ca="1">IF(ISERROR($S905),"",OFFSET('Smelter Reference List'!$I$4,$S905-4,0))</f>
        <v/>
      </c>
      <c r="K905" s="295"/>
      <c r="L905" s="295"/>
      <c r="M905" s="295"/>
      <c r="N905" s="295"/>
      <c r="O905" s="295"/>
      <c r="P905" s="295"/>
      <c r="Q905" s="296"/>
      <c r="R905" s="227"/>
      <c r="S905" s="228" t="e">
        <f>IF(C905="",NA(),MATCH($B905&amp;$C905,'Smelter Reference List'!$J:$J,0))</f>
        <v>#N/A</v>
      </c>
      <c r="T905" s="229"/>
      <c r="U905" s="229">
        <f t="shared" ca="1" si="30"/>
        <v>0</v>
      </c>
      <c r="V905" s="229"/>
      <c r="W905" s="229"/>
      <c r="Y905" s="223" t="str">
        <f t="shared" si="31"/>
        <v/>
      </c>
    </row>
    <row r="906" spans="1:25" s="223" customFormat="1" ht="20.25">
      <c r="A906" s="291"/>
      <c r="B906" s="292" t="str">
        <f>IF(LEN(A906)=0,"",INDEX('Smelter Reference List'!$A:$A,MATCH($A906,'Smelter Reference List'!$E:$E,0)))</f>
        <v/>
      </c>
      <c r="C906" s="298" t="str">
        <f>IF(LEN(A906)=0,"",INDEX('Smelter Reference List'!$C:$C,MATCH($A906,'Smelter Reference List'!$E:$E,0)))</f>
        <v/>
      </c>
      <c r="D906" s="292" t="str">
        <f ca="1">IF(ISERROR($S906),"",OFFSET('Smelter Reference List'!$C$4,$S906-4,0)&amp;"")</f>
        <v/>
      </c>
      <c r="E906" s="292" t="str">
        <f ca="1">IF(ISERROR($S906),"",OFFSET('Smelter Reference List'!$D$4,$S906-4,0)&amp;"")</f>
        <v/>
      </c>
      <c r="F906" s="292" t="str">
        <f ca="1">IF(ISERROR($S906),"",OFFSET('Smelter Reference List'!$E$4,$S906-4,0))</f>
        <v/>
      </c>
      <c r="G906" s="292" t="str">
        <f ca="1">IF(C906=$U$4,"Enter smelter details", IF(ISERROR($S906),"",OFFSET('Smelter Reference List'!$F$4,$S906-4,0)))</f>
        <v/>
      </c>
      <c r="H906" s="293" t="str">
        <f ca="1">IF(ISERROR($S906),"",OFFSET('Smelter Reference List'!$G$4,$S906-4,0))</f>
        <v/>
      </c>
      <c r="I906" s="294" t="str">
        <f ca="1">IF(ISERROR($S906),"",OFFSET('Smelter Reference List'!$H$4,$S906-4,0))</f>
        <v/>
      </c>
      <c r="J906" s="294" t="str">
        <f ca="1">IF(ISERROR($S906),"",OFFSET('Smelter Reference List'!$I$4,$S906-4,0))</f>
        <v/>
      </c>
      <c r="K906" s="295"/>
      <c r="L906" s="295"/>
      <c r="M906" s="295"/>
      <c r="N906" s="295"/>
      <c r="O906" s="295"/>
      <c r="P906" s="295"/>
      <c r="Q906" s="296"/>
      <c r="R906" s="227"/>
      <c r="S906" s="228" t="e">
        <f>IF(C906="",NA(),MATCH($B906&amp;$C906,'Smelter Reference List'!$J:$J,0))</f>
        <v>#N/A</v>
      </c>
      <c r="T906" s="229"/>
      <c r="U906" s="229">
        <f t="shared" ca="1" si="30"/>
        <v>0</v>
      </c>
      <c r="V906" s="229"/>
      <c r="W906" s="229"/>
      <c r="Y906" s="223" t="str">
        <f t="shared" si="31"/>
        <v/>
      </c>
    </row>
    <row r="907" spans="1:25" s="223" customFormat="1" ht="20.25">
      <c r="A907" s="291"/>
      <c r="B907" s="292" t="str">
        <f>IF(LEN(A907)=0,"",INDEX('Smelter Reference List'!$A:$A,MATCH($A907,'Smelter Reference List'!$E:$E,0)))</f>
        <v/>
      </c>
      <c r="C907" s="298" t="str">
        <f>IF(LEN(A907)=0,"",INDEX('Smelter Reference List'!$C:$C,MATCH($A907,'Smelter Reference List'!$E:$E,0)))</f>
        <v/>
      </c>
      <c r="D907" s="292" t="str">
        <f ca="1">IF(ISERROR($S907),"",OFFSET('Smelter Reference List'!$C$4,$S907-4,0)&amp;"")</f>
        <v/>
      </c>
      <c r="E907" s="292" t="str">
        <f ca="1">IF(ISERROR($S907),"",OFFSET('Smelter Reference List'!$D$4,$S907-4,0)&amp;"")</f>
        <v/>
      </c>
      <c r="F907" s="292" t="str">
        <f ca="1">IF(ISERROR($S907),"",OFFSET('Smelter Reference List'!$E$4,$S907-4,0))</f>
        <v/>
      </c>
      <c r="G907" s="292" t="str">
        <f ca="1">IF(C907=$U$4,"Enter smelter details", IF(ISERROR($S907),"",OFFSET('Smelter Reference List'!$F$4,$S907-4,0)))</f>
        <v/>
      </c>
      <c r="H907" s="293" t="str">
        <f ca="1">IF(ISERROR($S907),"",OFFSET('Smelter Reference List'!$G$4,$S907-4,0))</f>
        <v/>
      </c>
      <c r="I907" s="294" t="str">
        <f ca="1">IF(ISERROR($S907),"",OFFSET('Smelter Reference List'!$H$4,$S907-4,0))</f>
        <v/>
      </c>
      <c r="J907" s="294" t="str">
        <f ca="1">IF(ISERROR($S907),"",OFFSET('Smelter Reference List'!$I$4,$S907-4,0))</f>
        <v/>
      </c>
      <c r="K907" s="295"/>
      <c r="L907" s="295"/>
      <c r="M907" s="295"/>
      <c r="N907" s="295"/>
      <c r="O907" s="295"/>
      <c r="P907" s="295"/>
      <c r="Q907" s="296"/>
      <c r="R907" s="227"/>
      <c r="S907" s="228" t="e">
        <f>IF(C907="",NA(),MATCH($B907&amp;$C907,'Smelter Reference List'!$J:$J,0))</f>
        <v>#N/A</v>
      </c>
      <c r="T907" s="229"/>
      <c r="U907" s="229">
        <f t="shared" ca="1" si="30"/>
        <v>0</v>
      </c>
      <c r="V907" s="229"/>
      <c r="W907" s="229"/>
      <c r="Y907" s="223" t="str">
        <f t="shared" si="31"/>
        <v/>
      </c>
    </row>
    <row r="908" spans="1:25" s="223" customFormat="1" ht="20.25">
      <c r="A908" s="291"/>
      <c r="B908" s="292" t="str">
        <f>IF(LEN(A908)=0,"",INDEX('Smelter Reference List'!$A:$A,MATCH($A908,'Smelter Reference List'!$E:$E,0)))</f>
        <v/>
      </c>
      <c r="C908" s="298" t="str">
        <f>IF(LEN(A908)=0,"",INDEX('Smelter Reference List'!$C:$C,MATCH($A908,'Smelter Reference List'!$E:$E,0)))</f>
        <v/>
      </c>
      <c r="D908" s="292" t="str">
        <f ca="1">IF(ISERROR($S908),"",OFFSET('Smelter Reference List'!$C$4,$S908-4,0)&amp;"")</f>
        <v/>
      </c>
      <c r="E908" s="292" t="str">
        <f ca="1">IF(ISERROR($S908),"",OFFSET('Smelter Reference List'!$D$4,$S908-4,0)&amp;"")</f>
        <v/>
      </c>
      <c r="F908" s="292" t="str">
        <f ca="1">IF(ISERROR($S908),"",OFFSET('Smelter Reference List'!$E$4,$S908-4,0))</f>
        <v/>
      </c>
      <c r="G908" s="292" t="str">
        <f ca="1">IF(C908=$U$4,"Enter smelter details", IF(ISERROR($S908),"",OFFSET('Smelter Reference List'!$F$4,$S908-4,0)))</f>
        <v/>
      </c>
      <c r="H908" s="293" t="str">
        <f ca="1">IF(ISERROR($S908),"",OFFSET('Smelter Reference List'!$G$4,$S908-4,0))</f>
        <v/>
      </c>
      <c r="I908" s="294" t="str">
        <f ca="1">IF(ISERROR($S908),"",OFFSET('Smelter Reference List'!$H$4,$S908-4,0))</f>
        <v/>
      </c>
      <c r="J908" s="294" t="str">
        <f ca="1">IF(ISERROR($S908),"",OFFSET('Smelter Reference List'!$I$4,$S908-4,0))</f>
        <v/>
      </c>
      <c r="K908" s="295"/>
      <c r="L908" s="295"/>
      <c r="M908" s="295"/>
      <c r="N908" s="295"/>
      <c r="O908" s="295"/>
      <c r="P908" s="295"/>
      <c r="Q908" s="296"/>
      <c r="R908" s="227"/>
      <c r="S908" s="228" t="e">
        <f>IF(C908="",NA(),MATCH($B908&amp;$C908,'Smelter Reference List'!$J:$J,0))</f>
        <v>#N/A</v>
      </c>
      <c r="T908" s="229"/>
      <c r="U908" s="229">
        <f t="shared" ca="1" si="30"/>
        <v>0</v>
      </c>
      <c r="V908" s="229"/>
      <c r="W908" s="229"/>
      <c r="Y908" s="223" t="str">
        <f t="shared" si="31"/>
        <v/>
      </c>
    </row>
    <row r="909" spans="1:25" s="223" customFormat="1" ht="20.25">
      <c r="A909" s="291"/>
      <c r="B909" s="292" t="str">
        <f>IF(LEN(A909)=0,"",INDEX('Smelter Reference List'!$A:$A,MATCH($A909,'Smelter Reference List'!$E:$E,0)))</f>
        <v/>
      </c>
      <c r="C909" s="298" t="str">
        <f>IF(LEN(A909)=0,"",INDEX('Smelter Reference List'!$C:$C,MATCH($A909,'Smelter Reference List'!$E:$E,0)))</f>
        <v/>
      </c>
      <c r="D909" s="292" t="str">
        <f ca="1">IF(ISERROR($S909),"",OFFSET('Smelter Reference List'!$C$4,$S909-4,0)&amp;"")</f>
        <v/>
      </c>
      <c r="E909" s="292" t="str">
        <f ca="1">IF(ISERROR($S909),"",OFFSET('Smelter Reference List'!$D$4,$S909-4,0)&amp;"")</f>
        <v/>
      </c>
      <c r="F909" s="292" t="str">
        <f ca="1">IF(ISERROR($S909),"",OFFSET('Smelter Reference List'!$E$4,$S909-4,0))</f>
        <v/>
      </c>
      <c r="G909" s="292" t="str">
        <f ca="1">IF(C909=$U$4,"Enter smelter details", IF(ISERROR($S909),"",OFFSET('Smelter Reference List'!$F$4,$S909-4,0)))</f>
        <v/>
      </c>
      <c r="H909" s="293" t="str">
        <f ca="1">IF(ISERROR($S909),"",OFFSET('Smelter Reference List'!$G$4,$S909-4,0))</f>
        <v/>
      </c>
      <c r="I909" s="294" t="str">
        <f ca="1">IF(ISERROR($S909),"",OFFSET('Smelter Reference List'!$H$4,$S909-4,0))</f>
        <v/>
      </c>
      <c r="J909" s="294" t="str">
        <f ca="1">IF(ISERROR($S909),"",OFFSET('Smelter Reference List'!$I$4,$S909-4,0))</f>
        <v/>
      </c>
      <c r="K909" s="295"/>
      <c r="L909" s="295"/>
      <c r="M909" s="295"/>
      <c r="N909" s="295"/>
      <c r="O909" s="295"/>
      <c r="P909" s="295"/>
      <c r="Q909" s="296"/>
      <c r="R909" s="227"/>
      <c r="S909" s="228" t="e">
        <f>IF(C909="",NA(),MATCH($B909&amp;$C909,'Smelter Reference List'!$J:$J,0))</f>
        <v>#N/A</v>
      </c>
      <c r="T909" s="229"/>
      <c r="U909" s="229">
        <f t="shared" ca="1" si="30"/>
        <v>0</v>
      </c>
      <c r="V909" s="229"/>
      <c r="W909" s="229"/>
      <c r="Y909" s="223" t="str">
        <f t="shared" si="31"/>
        <v/>
      </c>
    </row>
    <row r="910" spans="1:25" s="223" customFormat="1" ht="20.25">
      <c r="A910" s="291"/>
      <c r="B910" s="292" t="str">
        <f>IF(LEN(A910)=0,"",INDEX('Smelter Reference List'!$A:$A,MATCH($A910,'Smelter Reference List'!$E:$E,0)))</f>
        <v/>
      </c>
      <c r="C910" s="298" t="str">
        <f>IF(LEN(A910)=0,"",INDEX('Smelter Reference List'!$C:$C,MATCH($A910,'Smelter Reference List'!$E:$E,0)))</f>
        <v/>
      </c>
      <c r="D910" s="292" t="str">
        <f ca="1">IF(ISERROR($S910),"",OFFSET('Smelter Reference List'!$C$4,$S910-4,0)&amp;"")</f>
        <v/>
      </c>
      <c r="E910" s="292" t="str">
        <f ca="1">IF(ISERROR($S910),"",OFFSET('Smelter Reference List'!$D$4,$S910-4,0)&amp;"")</f>
        <v/>
      </c>
      <c r="F910" s="292" t="str">
        <f ca="1">IF(ISERROR($S910),"",OFFSET('Smelter Reference List'!$E$4,$S910-4,0))</f>
        <v/>
      </c>
      <c r="G910" s="292" t="str">
        <f ca="1">IF(C910=$U$4,"Enter smelter details", IF(ISERROR($S910),"",OFFSET('Smelter Reference List'!$F$4,$S910-4,0)))</f>
        <v/>
      </c>
      <c r="H910" s="293" t="str">
        <f ca="1">IF(ISERROR($S910),"",OFFSET('Smelter Reference List'!$G$4,$S910-4,0))</f>
        <v/>
      </c>
      <c r="I910" s="294" t="str">
        <f ca="1">IF(ISERROR($S910),"",OFFSET('Smelter Reference List'!$H$4,$S910-4,0))</f>
        <v/>
      </c>
      <c r="J910" s="294" t="str">
        <f ca="1">IF(ISERROR($S910),"",OFFSET('Smelter Reference List'!$I$4,$S910-4,0))</f>
        <v/>
      </c>
      <c r="K910" s="295"/>
      <c r="L910" s="295"/>
      <c r="M910" s="295"/>
      <c r="N910" s="295"/>
      <c r="O910" s="295"/>
      <c r="P910" s="295"/>
      <c r="Q910" s="296"/>
      <c r="R910" s="227"/>
      <c r="S910" s="228" t="e">
        <f>IF(C910="",NA(),MATCH($B910&amp;$C910,'Smelter Reference List'!$J:$J,0))</f>
        <v>#N/A</v>
      </c>
      <c r="T910" s="229"/>
      <c r="U910" s="229">
        <f t="shared" ca="1" si="30"/>
        <v>0</v>
      </c>
      <c r="V910" s="229"/>
      <c r="W910" s="229"/>
      <c r="Y910" s="223" t="str">
        <f t="shared" si="31"/>
        <v/>
      </c>
    </row>
    <row r="911" spans="1:25" s="223" customFormat="1" ht="20.25">
      <c r="A911" s="291"/>
      <c r="B911" s="292" t="str">
        <f>IF(LEN(A911)=0,"",INDEX('Smelter Reference List'!$A:$A,MATCH($A911,'Smelter Reference List'!$E:$E,0)))</f>
        <v/>
      </c>
      <c r="C911" s="298" t="str">
        <f>IF(LEN(A911)=0,"",INDEX('Smelter Reference List'!$C:$C,MATCH($A911,'Smelter Reference List'!$E:$E,0)))</f>
        <v/>
      </c>
      <c r="D911" s="292" t="str">
        <f ca="1">IF(ISERROR($S911),"",OFFSET('Smelter Reference List'!$C$4,$S911-4,0)&amp;"")</f>
        <v/>
      </c>
      <c r="E911" s="292" t="str">
        <f ca="1">IF(ISERROR($S911),"",OFFSET('Smelter Reference List'!$D$4,$S911-4,0)&amp;"")</f>
        <v/>
      </c>
      <c r="F911" s="292" t="str">
        <f ca="1">IF(ISERROR($S911),"",OFFSET('Smelter Reference List'!$E$4,$S911-4,0))</f>
        <v/>
      </c>
      <c r="G911" s="292" t="str">
        <f ca="1">IF(C911=$U$4,"Enter smelter details", IF(ISERROR($S911),"",OFFSET('Smelter Reference List'!$F$4,$S911-4,0)))</f>
        <v/>
      </c>
      <c r="H911" s="293" t="str">
        <f ca="1">IF(ISERROR($S911),"",OFFSET('Smelter Reference List'!$G$4,$S911-4,0))</f>
        <v/>
      </c>
      <c r="I911" s="294" t="str">
        <f ca="1">IF(ISERROR($S911),"",OFFSET('Smelter Reference List'!$H$4,$S911-4,0))</f>
        <v/>
      </c>
      <c r="J911" s="294" t="str">
        <f ca="1">IF(ISERROR($S911),"",OFFSET('Smelter Reference List'!$I$4,$S911-4,0))</f>
        <v/>
      </c>
      <c r="K911" s="295"/>
      <c r="L911" s="295"/>
      <c r="M911" s="295"/>
      <c r="N911" s="295"/>
      <c r="O911" s="295"/>
      <c r="P911" s="295"/>
      <c r="Q911" s="296"/>
      <c r="R911" s="227"/>
      <c r="S911" s="228" t="e">
        <f>IF(C911="",NA(),MATCH($B911&amp;$C911,'Smelter Reference List'!$J:$J,0))</f>
        <v>#N/A</v>
      </c>
      <c r="T911" s="229"/>
      <c r="U911" s="229">
        <f t="shared" ca="1" si="30"/>
        <v>0</v>
      </c>
      <c r="V911" s="229"/>
      <c r="W911" s="229"/>
      <c r="Y911" s="223" t="str">
        <f t="shared" si="31"/>
        <v/>
      </c>
    </row>
    <row r="912" spans="1:25" s="223" customFormat="1" ht="20.25">
      <c r="A912" s="291"/>
      <c r="B912" s="292" t="str">
        <f>IF(LEN(A912)=0,"",INDEX('Smelter Reference List'!$A:$A,MATCH($A912,'Smelter Reference List'!$E:$E,0)))</f>
        <v/>
      </c>
      <c r="C912" s="298" t="str">
        <f>IF(LEN(A912)=0,"",INDEX('Smelter Reference List'!$C:$C,MATCH($A912,'Smelter Reference List'!$E:$E,0)))</f>
        <v/>
      </c>
      <c r="D912" s="292" t="str">
        <f ca="1">IF(ISERROR($S912),"",OFFSET('Smelter Reference List'!$C$4,$S912-4,0)&amp;"")</f>
        <v/>
      </c>
      <c r="E912" s="292" t="str">
        <f ca="1">IF(ISERROR($S912),"",OFFSET('Smelter Reference List'!$D$4,$S912-4,0)&amp;"")</f>
        <v/>
      </c>
      <c r="F912" s="292" t="str">
        <f ca="1">IF(ISERROR($S912),"",OFFSET('Smelter Reference List'!$E$4,$S912-4,0))</f>
        <v/>
      </c>
      <c r="G912" s="292" t="str">
        <f ca="1">IF(C912=$U$4,"Enter smelter details", IF(ISERROR($S912),"",OFFSET('Smelter Reference List'!$F$4,$S912-4,0)))</f>
        <v/>
      </c>
      <c r="H912" s="293" t="str">
        <f ca="1">IF(ISERROR($S912),"",OFFSET('Smelter Reference List'!$G$4,$S912-4,0))</f>
        <v/>
      </c>
      <c r="I912" s="294" t="str">
        <f ca="1">IF(ISERROR($S912),"",OFFSET('Smelter Reference List'!$H$4,$S912-4,0))</f>
        <v/>
      </c>
      <c r="J912" s="294" t="str">
        <f ca="1">IF(ISERROR($S912),"",OFFSET('Smelter Reference List'!$I$4,$S912-4,0))</f>
        <v/>
      </c>
      <c r="K912" s="295"/>
      <c r="L912" s="295"/>
      <c r="M912" s="295"/>
      <c r="N912" s="295"/>
      <c r="O912" s="295"/>
      <c r="P912" s="295"/>
      <c r="Q912" s="296"/>
      <c r="R912" s="227"/>
      <c r="S912" s="228" t="e">
        <f>IF(C912="",NA(),MATCH($B912&amp;$C912,'Smelter Reference List'!$J:$J,0))</f>
        <v>#N/A</v>
      </c>
      <c r="T912" s="229"/>
      <c r="U912" s="229">
        <f t="shared" ca="1" si="30"/>
        <v>0</v>
      </c>
      <c r="V912" s="229"/>
      <c r="W912" s="229"/>
      <c r="Y912" s="223" t="str">
        <f t="shared" si="31"/>
        <v/>
      </c>
    </row>
    <row r="913" spans="1:25" s="223" customFormat="1" ht="20.25">
      <c r="A913" s="291"/>
      <c r="B913" s="292" t="str">
        <f>IF(LEN(A913)=0,"",INDEX('Smelter Reference List'!$A:$A,MATCH($A913,'Smelter Reference List'!$E:$E,0)))</f>
        <v/>
      </c>
      <c r="C913" s="298" t="str">
        <f>IF(LEN(A913)=0,"",INDEX('Smelter Reference List'!$C:$C,MATCH($A913,'Smelter Reference List'!$E:$E,0)))</f>
        <v/>
      </c>
      <c r="D913" s="292" t="str">
        <f ca="1">IF(ISERROR($S913),"",OFFSET('Smelter Reference List'!$C$4,$S913-4,0)&amp;"")</f>
        <v/>
      </c>
      <c r="E913" s="292" t="str">
        <f ca="1">IF(ISERROR($S913),"",OFFSET('Smelter Reference List'!$D$4,$S913-4,0)&amp;"")</f>
        <v/>
      </c>
      <c r="F913" s="292" t="str">
        <f ca="1">IF(ISERROR($S913),"",OFFSET('Smelter Reference List'!$E$4,$S913-4,0))</f>
        <v/>
      </c>
      <c r="G913" s="292" t="str">
        <f ca="1">IF(C913=$U$4,"Enter smelter details", IF(ISERROR($S913),"",OFFSET('Smelter Reference List'!$F$4,$S913-4,0)))</f>
        <v/>
      </c>
      <c r="H913" s="293" t="str">
        <f ca="1">IF(ISERROR($S913),"",OFFSET('Smelter Reference List'!$G$4,$S913-4,0))</f>
        <v/>
      </c>
      <c r="I913" s="294" t="str">
        <f ca="1">IF(ISERROR($S913),"",OFFSET('Smelter Reference List'!$H$4,$S913-4,0))</f>
        <v/>
      </c>
      <c r="J913" s="294" t="str">
        <f ca="1">IF(ISERROR($S913),"",OFFSET('Smelter Reference List'!$I$4,$S913-4,0))</f>
        <v/>
      </c>
      <c r="K913" s="295"/>
      <c r="L913" s="295"/>
      <c r="M913" s="295"/>
      <c r="N913" s="295"/>
      <c r="O913" s="295"/>
      <c r="P913" s="295"/>
      <c r="Q913" s="296"/>
      <c r="R913" s="227"/>
      <c r="S913" s="228" t="e">
        <f>IF(C913="",NA(),MATCH($B913&amp;$C913,'Smelter Reference List'!$J:$J,0))</f>
        <v>#N/A</v>
      </c>
      <c r="T913" s="229"/>
      <c r="U913" s="229">
        <f t="shared" ca="1" si="30"/>
        <v>0</v>
      </c>
      <c r="V913" s="229"/>
      <c r="W913" s="229"/>
      <c r="Y913" s="223" t="str">
        <f t="shared" si="31"/>
        <v/>
      </c>
    </row>
    <row r="914" spans="1:25" s="223" customFormat="1" ht="20.25">
      <c r="A914" s="291"/>
      <c r="B914" s="292" t="str">
        <f>IF(LEN(A914)=0,"",INDEX('Smelter Reference List'!$A:$A,MATCH($A914,'Smelter Reference List'!$E:$E,0)))</f>
        <v/>
      </c>
      <c r="C914" s="298" t="str">
        <f>IF(LEN(A914)=0,"",INDEX('Smelter Reference List'!$C:$C,MATCH($A914,'Smelter Reference List'!$E:$E,0)))</f>
        <v/>
      </c>
      <c r="D914" s="292" t="str">
        <f ca="1">IF(ISERROR($S914),"",OFFSET('Smelter Reference List'!$C$4,$S914-4,0)&amp;"")</f>
        <v/>
      </c>
      <c r="E914" s="292" t="str">
        <f ca="1">IF(ISERROR($S914),"",OFFSET('Smelter Reference List'!$D$4,$S914-4,0)&amp;"")</f>
        <v/>
      </c>
      <c r="F914" s="292" t="str">
        <f ca="1">IF(ISERROR($S914),"",OFFSET('Smelter Reference List'!$E$4,$S914-4,0))</f>
        <v/>
      </c>
      <c r="G914" s="292" t="str">
        <f ca="1">IF(C914=$U$4,"Enter smelter details", IF(ISERROR($S914),"",OFFSET('Smelter Reference List'!$F$4,$S914-4,0)))</f>
        <v/>
      </c>
      <c r="H914" s="293" t="str">
        <f ca="1">IF(ISERROR($S914),"",OFFSET('Smelter Reference List'!$G$4,$S914-4,0))</f>
        <v/>
      </c>
      <c r="I914" s="294" t="str">
        <f ca="1">IF(ISERROR($S914),"",OFFSET('Smelter Reference List'!$H$4,$S914-4,0))</f>
        <v/>
      </c>
      <c r="J914" s="294" t="str">
        <f ca="1">IF(ISERROR($S914),"",OFFSET('Smelter Reference List'!$I$4,$S914-4,0))</f>
        <v/>
      </c>
      <c r="K914" s="295"/>
      <c r="L914" s="295"/>
      <c r="M914" s="295"/>
      <c r="N914" s="295"/>
      <c r="O914" s="295"/>
      <c r="P914" s="295"/>
      <c r="Q914" s="296"/>
      <c r="R914" s="227"/>
      <c r="S914" s="228" t="e">
        <f>IF(C914="",NA(),MATCH($B914&amp;$C914,'Smelter Reference List'!$J:$J,0))</f>
        <v>#N/A</v>
      </c>
      <c r="T914" s="229"/>
      <c r="U914" s="229">
        <f t="shared" ca="1" si="30"/>
        <v>0</v>
      </c>
      <c r="V914" s="229"/>
      <c r="W914" s="229"/>
      <c r="Y914" s="223" t="str">
        <f t="shared" si="31"/>
        <v/>
      </c>
    </row>
    <row r="915" spans="1:25" s="223" customFormat="1" ht="20.25">
      <c r="A915" s="291"/>
      <c r="B915" s="292" t="str">
        <f>IF(LEN(A915)=0,"",INDEX('Smelter Reference List'!$A:$A,MATCH($A915,'Smelter Reference List'!$E:$E,0)))</f>
        <v/>
      </c>
      <c r="C915" s="298" t="str">
        <f>IF(LEN(A915)=0,"",INDEX('Smelter Reference List'!$C:$C,MATCH($A915,'Smelter Reference List'!$E:$E,0)))</f>
        <v/>
      </c>
      <c r="D915" s="292" t="str">
        <f ca="1">IF(ISERROR($S915),"",OFFSET('Smelter Reference List'!$C$4,$S915-4,0)&amp;"")</f>
        <v/>
      </c>
      <c r="E915" s="292" t="str">
        <f ca="1">IF(ISERROR($S915),"",OFFSET('Smelter Reference List'!$D$4,$S915-4,0)&amp;"")</f>
        <v/>
      </c>
      <c r="F915" s="292" t="str">
        <f ca="1">IF(ISERROR($S915),"",OFFSET('Smelter Reference List'!$E$4,$S915-4,0))</f>
        <v/>
      </c>
      <c r="G915" s="292" t="str">
        <f ca="1">IF(C915=$U$4,"Enter smelter details", IF(ISERROR($S915),"",OFFSET('Smelter Reference List'!$F$4,$S915-4,0)))</f>
        <v/>
      </c>
      <c r="H915" s="293" t="str">
        <f ca="1">IF(ISERROR($S915),"",OFFSET('Smelter Reference List'!$G$4,$S915-4,0))</f>
        <v/>
      </c>
      <c r="I915" s="294" t="str">
        <f ca="1">IF(ISERROR($S915),"",OFFSET('Smelter Reference List'!$H$4,$S915-4,0))</f>
        <v/>
      </c>
      <c r="J915" s="294" t="str">
        <f ca="1">IF(ISERROR($S915),"",OFFSET('Smelter Reference List'!$I$4,$S915-4,0))</f>
        <v/>
      </c>
      <c r="K915" s="295"/>
      <c r="L915" s="295"/>
      <c r="M915" s="295"/>
      <c r="N915" s="295"/>
      <c r="O915" s="295"/>
      <c r="P915" s="295"/>
      <c r="Q915" s="296"/>
      <c r="R915" s="227"/>
      <c r="S915" s="228" t="e">
        <f>IF(C915="",NA(),MATCH($B915&amp;$C915,'Smelter Reference List'!$J:$J,0))</f>
        <v>#N/A</v>
      </c>
      <c r="T915" s="229"/>
      <c r="U915" s="229">
        <f t="shared" ca="1" si="30"/>
        <v>0</v>
      </c>
      <c r="V915" s="229"/>
      <c r="W915" s="229"/>
      <c r="Y915" s="223" t="str">
        <f t="shared" si="31"/>
        <v/>
      </c>
    </row>
    <row r="916" spans="1:25" s="223" customFormat="1" ht="20.25">
      <c r="A916" s="291"/>
      <c r="B916" s="292" t="str">
        <f>IF(LEN(A916)=0,"",INDEX('Smelter Reference List'!$A:$A,MATCH($A916,'Smelter Reference List'!$E:$E,0)))</f>
        <v/>
      </c>
      <c r="C916" s="298" t="str">
        <f>IF(LEN(A916)=0,"",INDEX('Smelter Reference List'!$C:$C,MATCH($A916,'Smelter Reference List'!$E:$E,0)))</f>
        <v/>
      </c>
      <c r="D916" s="292" t="str">
        <f ca="1">IF(ISERROR($S916),"",OFFSET('Smelter Reference List'!$C$4,$S916-4,0)&amp;"")</f>
        <v/>
      </c>
      <c r="E916" s="292" t="str">
        <f ca="1">IF(ISERROR($S916),"",OFFSET('Smelter Reference List'!$D$4,$S916-4,0)&amp;"")</f>
        <v/>
      </c>
      <c r="F916" s="292" t="str">
        <f ca="1">IF(ISERROR($S916),"",OFFSET('Smelter Reference List'!$E$4,$S916-4,0))</f>
        <v/>
      </c>
      <c r="G916" s="292" t="str">
        <f ca="1">IF(C916=$U$4,"Enter smelter details", IF(ISERROR($S916),"",OFFSET('Smelter Reference List'!$F$4,$S916-4,0)))</f>
        <v/>
      </c>
      <c r="H916" s="293" t="str">
        <f ca="1">IF(ISERROR($S916),"",OFFSET('Smelter Reference List'!$G$4,$S916-4,0))</f>
        <v/>
      </c>
      <c r="I916" s="294" t="str">
        <f ca="1">IF(ISERROR($S916),"",OFFSET('Smelter Reference List'!$H$4,$S916-4,0))</f>
        <v/>
      </c>
      <c r="J916" s="294" t="str">
        <f ca="1">IF(ISERROR($S916),"",OFFSET('Smelter Reference List'!$I$4,$S916-4,0))</f>
        <v/>
      </c>
      <c r="K916" s="295"/>
      <c r="L916" s="295"/>
      <c r="M916" s="295"/>
      <c r="N916" s="295"/>
      <c r="O916" s="295"/>
      <c r="P916" s="295"/>
      <c r="Q916" s="296"/>
      <c r="R916" s="227"/>
      <c r="S916" s="228" t="e">
        <f>IF(C916="",NA(),MATCH($B916&amp;$C916,'Smelter Reference List'!$J:$J,0))</f>
        <v>#N/A</v>
      </c>
      <c r="T916" s="229"/>
      <c r="U916" s="229">
        <f t="shared" ca="1" si="30"/>
        <v>0</v>
      </c>
      <c r="V916" s="229"/>
      <c r="W916" s="229"/>
      <c r="Y916" s="223" t="str">
        <f t="shared" si="31"/>
        <v/>
      </c>
    </row>
    <row r="917" spans="1:25" s="223" customFormat="1" ht="20.25">
      <c r="A917" s="291"/>
      <c r="B917" s="292" t="str">
        <f>IF(LEN(A917)=0,"",INDEX('Smelter Reference List'!$A:$A,MATCH($A917,'Smelter Reference List'!$E:$E,0)))</f>
        <v/>
      </c>
      <c r="C917" s="298" t="str">
        <f>IF(LEN(A917)=0,"",INDEX('Smelter Reference List'!$C:$C,MATCH($A917,'Smelter Reference List'!$E:$E,0)))</f>
        <v/>
      </c>
      <c r="D917" s="292" t="str">
        <f ca="1">IF(ISERROR($S917),"",OFFSET('Smelter Reference List'!$C$4,$S917-4,0)&amp;"")</f>
        <v/>
      </c>
      <c r="E917" s="292" t="str">
        <f ca="1">IF(ISERROR($S917),"",OFFSET('Smelter Reference List'!$D$4,$S917-4,0)&amp;"")</f>
        <v/>
      </c>
      <c r="F917" s="292" t="str">
        <f ca="1">IF(ISERROR($S917),"",OFFSET('Smelter Reference List'!$E$4,$S917-4,0))</f>
        <v/>
      </c>
      <c r="G917" s="292" t="str">
        <f ca="1">IF(C917=$U$4,"Enter smelter details", IF(ISERROR($S917),"",OFFSET('Smelter Reference List'!$F$4,$S917-4,0)))</f>
        <v/>
      </c>
      <c r="H917" s="293" t="str">
        <f ca="1">IF(ISERROR($S917),"",OFFSET('Smelter Reference List'!$G$4,$S917-4,0))</f>
        <v/>
      </c>
      <c r="I917" s="294" t="str">
        <f ca="1">IF(ISERROR($S917),"",OFFSET('Smelter Reference List'!$H$4,$S917-4,0))</f>
        <v/>
      </c>
      <c r="J917" s="294" t="str">
        <f ca="1">IF(ISERROR($S917),"",OFFSET('Smelter Reference List'!$I$4,$S917-4,0))</f>
        <v/>
      </c>
      <c r="K917" s="295"/>
      <c r="L917" s="295"/>
      <c r="M917" s="295"/>
      <c r="N917" s="295"/>
      <c r="O917" s="295"/>
      <c r="P917" s="295"/>
      <c r="Q917" s="296"/>
      <c r="R917" s="227"/>
      <c r="S917" s="228" t="e">
        <f>IF(C917="",NA(),MATCH($B917&amp;$C917,'Smelter Reference List'!$J:$J,0))</f>
        <v>#N/A</v>
      </c>
      <c r="T917" s="229"/>
      <c r="U917" s="229">
        <f t="shared" ca="1" si="30"/>
        <v>0</v>
      </c>
      <c r="V917" s="229"/>
      <c r="W917" s="229"/>
      <c r="Y917" s="223" t="str">
        <f t="shared" si="31"/>
        <v/>
      </c>
    </row>
    <row r="918" spans="1:25" s="223" customFormat="1" ht="20.25">
      <c r="A918" s="291"/>
      <c r="B918" s="292" t="str">
        <f>IF(LEN(A918)=0,"",INDEX('Smelter Reference List'!$A:$A,MATCH($A918,'Smelter Reference List'!$E:$E,0)))</f>
        <v/>
      </c>
      <c r="C918" s="298" t="str">
        <f>IF(LEN(A918)=0,"",INDEX('Smelter Reference List'!$C:$C,MATCH($A918,'Smelter Reference List'!$E:$E,0)))</f>
        <v/>
      </c>
      <c r="D918" s="292" t="str">
        <f ca="1">IF(ISERROR($S918),"",OFFSET('Smelter Reference List'!$C$4,$S918-4,0)&amp;"")</f>
        <v/>
      </c>
      <c r="E918" s="292" t="str">
        <f ca="1">IF(ISERROR($S918),"",OFFSET('Smelter Reference List'!$D$4,$S918-4,0)&amp;"")</f>
        <v/>
      </c>
      <c r="F918" s="292" t="str">
        <f ca="1">IF(ISERROR($S918),"",OFFSET('Smelter Reference List'!$E$4,$S918-4,0))</f>
        <v/>
      </c>
      <c r="G918" s="292" t="str">
        <f ca="1">IF(C918=$U$4,"Enter smelter details", IF(ISERROR($S918),"",OFFSET('Smelter Reference List'!$F$4,$S918-4,0)))</f>
        <v/>
      </c>
      <c r="H918" s="293" t="str">
        <f ca="1">IF(ISERROR($S918),"",OFFSET('Smelter Reference List'!$G$4,$S918-4,0))</f>
        <v/>
      </c>
      <c r="I918" s="294" t="str">
        <f ca="1">IF(ISERROR($S918),"",OFFSET('Smelter Reference List'!$H$4,$S918-4,0))</f>
        <v/>
      </c>
      <c r="J918" s="294" t="str">
        <f ca="1">IF(ISERROR($S918),"",OFFSET('Smelter Reference List'!$I$4,$S918-4,0))</f>
        <v/>
      </c>
      <c r="K918" s="295"/>
      <c r="L918" s="295"/>
      <c r="M918" s="295"/>
      <c r="N918" s="295"/>
      <c r="O918" s="295"/>
      <c r="P918" s="295"/>
      <c r="Q918" s="296"/>
      <c r="R918" s="227"/>
      <c r="S918" s="228" t="e">
        <f>IF(C918="",NA(),MATCH($B918&amp;$C918,'Smelter Reference List'!$J:$J,0))</f>
        <v>#N/A</v>
      </c>
      <c r="T918" s="229"/>
      <c r="U918" s="229">
        <f t="shared" ca="1" si="30"/>
        <v>0</v>
      </c>
      <c r="V918" s="229"/>
      <c r="W918" s="229"/>
      <c r="Y918" s="223" t="str">
        <f t="shared" si="31"/>
        <v/>
      </c>
    </row>
    <row r="919" spans="1:25" s="223" customFormat="1" ht="20.25">
      <c r="A919" s="291"/>
      <c r="B919" s="292" t="str">
        <f>IF(LEN(A919)=0,"",INDEX('Smelter Reference List'!$A:$A,MATCH($A919,'Smelter Reference List'!$E:$E,0)))</f>
        <v/>
      </c>
      <c r="C919" s="298" t="str">
        <f>IF(LEN(A919)=0,"",INDEX('Smelter Reference List'!$C:$C,MATCH($A919,'Smelter Reference List'!$E:$E,0)))</f>
        <v/>
      </c>
      <c r="D919" s="292" t="str">
        <f ca="1">IF(ISERROR($S919),"",OFFSET('Smelter Reference List'!$C$4,$S919-4,0)&amp;"")</f>
        <v/>
      </c>
      <c r="E919" s="292" t="str">
        <f ca="1">IF(ISERROR($S919),"",OFFSET('Smelter Reference List'!$D$4,$S919-4,0)&amp;"")</f>
        <v/>
      </c>
      <c r="F919" s="292" t="str">
        <f ca="1">IF(ISERROR($S919),"",OFFSET('Smelter Reference List'!$E$4,$S919-4,0))</f>
        <v/>
      </c>
      <c r="G919" s="292" t="str">
        <f ca="1">IF(C919=$U$4,"Enter smelter details", IF(ISERROR($S919),"",OFFSET('Smelter Reference List'!$F$4,$S919-4,0)))</f>
        <v/>
      </c>
      <c r="H919" s="293" t="str">
        <f ca="1">IF(ISERROR($S919),"",OFFSET('Smelter Reference List'!$G$4,$S919-4,0))</f>
        <v/>
      </c>
      <c r="I919" s="294" t="str">
        <f ca="1">IF(ISERROR($S919),"",OFFSET('Smelter Reference List'!$H$4,$S919-4,0))</f>
        <v/>
      </c>
      <c r="J919" s="294" t="str">
        <f ca="1">IF(ISERROR($S919),"",OFFSET('Smelter Reference List'!$I$4,$S919-4,0))</f>
        <v/>
      </c>
      <c r="K919" s="295"/>
      <c r="L919" s="295"/>
      <c r="M919" s="295"/>
      <c r="N919" s="295"/>
      <c r="O919" s="295"/>
      <c r="P919" s="295"/>
      <c r="Q919" s="296"/>
      <c r="R919" s="227"/>
      <c r="S919" s="228" t="e">
        <f>IF(C919="",NA(),MATCH($B919&amp;$C919,'Smelter Reference List'!$J:$J,0))</f>
        <v>#N/A</v>
      </c>
      <c r="T919" s="229"/>
      <c r="U919" s="229">
        <f t="shared" ca="1" si="30"/>
        <v>0</v>
      </c>
      <c r="V919" s="229"/>
      <c r="W919" s="229"/>
      <c r="Y919" s="223" t="str">
        <f t="shared" si="31"/>
        <v/>
      </c>
    </row>
    <row r="920" spans="1:25" s="223" customFormat="1" ht="20.25">
      <c r="A920" s="291"/>
      <c r="B920" s="292" t="str">
        <f>IF(LEN(A920)=0,"",INDEX('Smelter Reference List'!$A:$A,MATCH($A920,'Smelter Reference List'!$E:$E,0)))</f>
        <v/>
      </c>
      <c r="C920" s="298" t="str">
        <f>IF(LEN(A920)=0,"",INDEX('Smelter Reference List'!$C:$C,MATCH($A920,'Smelter Reference List'!$E:$E,0)))</f>
        <v/>
      </c>
      <c r="D920" s="292" t="str">
        <f ca="1">IF(ISERROR($S920),"",OFFSET('Smelter Reference List'!$C$4,$S920-4,0)&amp;"")</f>
        <v/>
      </c>
      <c r="E920" s="292" t="str">
        <f ca="1">IF(ISERROR($S920),"",OFFSET('Smelter Reference List'!$D$4,$S920-4,0)&amp;"")</f>
        <v/>
      </c>
      <c r="F920" s="292" t="str">
        <f ca="1">IF(ISERROR($S920),"",OFFSET('Smelter Reference List'!$E$4,$S920-4,0))</f>
        <v/>
      </c>
      <c r="G920" s="292" t="str">
        <f ca="1">IF(C920=$U$4,"Enter smelter details", IF(ISERROR($S920),"",OFFSET('Smelter Reference List'!$F$4,$S920-4,0)))</f>
        <v/>
      </c>
      <c r="H920" s="293" t="str">
        <f ca="1">IF(ISERROR($S920),"",OFFSET('Smelter Reference List'!$G$4,$S920-4,0))</f>
        <v/>
      </c>
      <c r="I920" s="294" t="str">
        <f ca="1">IF(ISERROR($S920),"",OFFSET('Smelter Reference List'!$H$4,$S920-4,0))</f>
        <v/>
      </c>
      <c r="J920" s="294" t="str">
        <f ca="1">IF(ISERROR($S920),"",OFFSET('Smelter Reference List'!$I$4,$S920-4,0))</f>
        <v/>
      </c>
      <c r="K920" s="295"/>
      <c r="L920" s="295"/>
      <c r="M920" s="295"/>
      <c r="N920" s="295"/>
      <c r="O920" s="295"/>
      <c r="P920" s="295"/>
      <c r="Q920" s="296"/>
      <c r="R920" s="227"/>
      <c r="S920" s="228" t="e">
        <f>IF(C920="",NA(),MATCH($B920&amp;$C920,'Smelter Reference List'!$J:$J,0))</f>
        <v>#N/A</v>
      </c>
      <c r="T920" s="229"/>
      <c r="U920" s="229">
        <f t="shared" ca="1" si="30"/>
        <v>0</v>
      </c>
      <c r="V920" s="229"/>
      <c r="W920" s="229"/>
      <c r="Y920" s="223" t="str">
        <f t="shared" si="31"/>
        <v/>
      </c>
    </row>
    <row r="921" spans="1:25" s="223" customFormat="1" ht="20.25">
      <c r="A921" s="291"/>
      <c r="B921" s="292" t="str">
        <f>IF(LEN(A921)=0,"",INDEX('Smelter Reference List'!$A:$A,MATCH($A921,'Smelter Reference List'!$E:$E,0)))</f>
        <v/>
      </c>
      <c r="C921" s="298" t="str">
        <f>IF(LEN(A921)=0,"",INDEX('Smelter Reference List'!$C:$C,MATCH($A921,'Smelter Reference List'!$E:$E,0)))</f>
        <v/>
      </c>
      <c r="D921" s="292" t="str">
        <f ca="1">IF(ISERROR($S921),"",OFFSET('Smelter Reference List'!$C$4,$S921-4,0)&amp;"")</f>
        <v/>
      </c>
      <c r="E921" s="292" t="str">
        <f ca="1">IF(ISERROR($S921),"",OFFSET('Smelter Reference List'!$D$4,$S921-4,0)&amp;"")</f>
        <v/>
      </c>
      <c r="F921" s="292" t="str">
        <f ca="1">IF(ISERROR($S921),"",OFFSET('Smelter Reference List'!$E$4,$S921-4,0))</f>
        <v/>
      </c>
      <c r="G921" s="292" t="str">
        <f ca="1">IF(C921=$U$4,"Enter smelter details", IF(ISERROR($S921),"",OFFSET('Smelter Reference List'!$F$4,$S921-4,0)))</f>
        <v/>
      </c>
      <c r="H921" s="293" t="str">
        <f ca="1">IF(ISERROR($S921),"",OFFSET('Smelter Reference List'!$G$4,$S921-4,0))</f>
        <v/>
      </c>
      <c r="I921" s="294" t="str">
        <f ca="1">IF(ISERROR($S921),"",OFFSET('Smelter Reference List'!$H$4,$S921-4,0))</f>
        <v/>
      </c>
      <c r="J921" s="294" t="str">
        <f ca="1">IF(ISERROR($S921),"",OFFSET('Smelter Reference List'!$I$4,$S921-4,0))</f>
        <v/>
      </c>
      <c r="K921" s="295"/>
      <c r="L921" s="295"/>
      <c r="M921" s="295"/>
      <c r="N921" s="295"/>
      <c r="O921" s="295"/>
      <c r="P921" s="295"/>
      <c r="Q921" s="296"/>
      <c r="R921" s="227"/>
      <c r="S921" s="228" t="e">
        <f>IF(C921="",NA(),MATCH($B921&amp;$C921,'Smelter Reference List'!$J:$J,0))</f>
        <v>#N/A</v>
      </c>
      <c r="T921" s="229"/>
      <c r="U921" s="229">
        <f t="shared" ca="1" si="30"/>
        <v>0</v>
      </c>
      <c r="V921" s="229"/>
      <c r="W921" s="229"/>
      <c r="Y921" s="223" t="str">
        <f t="shared" si="31"/>
        <v/>
      </c>
    </row>
    <row r="922" spans="1:25" s="223" customFormat="1" ht="20.25">
      <c r="A922" s="291"/>
      <c r="B922" s="292" t="str">
        <f>IF(LEN(A922)=0,"",INDEX('Smelter Reference List'!$A:$A,MATCH($A922,'Smelter Reference List'!$E:$E,0)))</f>
        <v/>
      </c>
      <c r="C922" s="298" t="str">
        <f>IF(LEN(A922)=0,"",INDEX('Smelter Reference List'!$C:$C,MATCH($A922,'Smelter Reference List'!$E:$E,0)))</f>
        <v/>
      </c>
      <c r="D922" s="292" t="str">
        <f ca="1">IF(ISERROR($S922),"",OFFSET('Smelter Reference List'!$C$4,$S922-4,0)&amp;"")</f>
        <v/>
      </c>
      <c r="E922" s="292" t="str">
        <f ca="1">IF(ISERROR($S922),"",OFFSET('Smelter Reference List'!$D$4,$S922-4,0)&amp;"")</f>
        <v/>
      </c>
      <c r="F922" s="292" t="str">
        <f ca="1">IF(ISERROR($S922),"",OFFSET('Smelter Reference List'!$E$4,$S922-4,0))</f>
        <v/>
      </c>
      <c r="G922" s="292" t="str">
        <f ca="1">IF(C922=$U$4,"Enter smelter details", IF(ISERROR($S922),"",OFFSET('Smelter Reference List'!$F$4,$S922-4,0)))</f>
        <v/>
      </c>
      <c r="H922" s="293" t="str">
        <f ca="1">IF(ISERROR($S922),"",OFFSET('Smelter Reference List'!$G$4,$S922-4,0))</f>
        <v/>
      </c>
      <c r="I922" s="294" t="str">
        <f ca="1">IF(ISERROR($S922),"",OFFSET('Smelter Reference List'!$H$4,$S922-4,0))</f>
        <v/>
      </c>
      <c r="J922" s="294" t="str">
        <f ca="1">IF(ISERROR($S922),"",OFFSET('Smelter Reference List'!$I$4,$S922-4,0))</f>
        <v/>
      </c>
      <c r="K922" s="295"/>
      <c r="L922" s="295"/>
      <c r="M922" s="295"/>
      <c r="N922" s="295"/>
      <c r="O922" s="295"/>
      <c r="P922" s="295"/>
      <c r="Q922" s="296"/>
      <c r="R922" s="227"/>
      <c r="S922" s="228" t="e">
        <f>IF(C922="",NA(),MATCH($B922&amp;$C922,'Smelter Reference List'!$J:$J,0))</f>
        <v>#N/A</v>
      </c>
      <c r="T922" s="229"/>
      <c r="U922" s="229">
        <f t="shared" ca="1" si="30"/>
        <v>0</v>
      </c>
      <c r="V922" s="229"/>
      <c r="W922" s="229"/>
      <c r="Y922" s="223" t="str">
        <f t="shared" si="31"/>
        <v/>
      </c>
    </row>
    <row r="923" spans="1:25" s="223" customFormat="1" ht="20.25">
      <c r="A923" s="291"/>
      <c r="B923" s="292" t="str">
        <f>IF(LEN(A923)=0,"",INDEX('Smelter Reference List'!$A:$A,MATCH($A923,'Smelter Reference List'!$E:$E,0)))</f>
        <v/>
      </c>
      <c r="C923" s="298" t="str">
        <f>IF(LEN(A923)=0,"",INDEX('Smelter Reference List'!$C:$C,MATCH($A923,'Smelter Reference List'!$E:$E,0)))</f>
        <v/>
      </c>
      <c r="D923" s="292" t="str">
        <f ca="1">IF(ISERROR($S923),"",OFFSET('Smelter Reference List'!$C$4,$S923-4,0)&amp;"")</f>
        <v/>
      </c>
      <c r="E923" s="292" t="str">
        <f ca="1">IF(ISERROR($S923),"",OFFSET('Smelter Reference List'!$D$4,$S923-4,0)&amp;"")</f>
        <v/>
      </c>
      <c r="F923" s="292" t="str">
        <f ca="1">IF(ISERROR($S923),"",OFFSET('Smelter Reference List'!$E$4,$S923-4,0))</f>
        <v/>
      </c>
      <c r="G923" s="292" t="str">
        <f ca="1">IF(C923=$U$4,"Enter smelter details", IF(ISERROR($S923),"",OFFSET('Smelter Reference List'!$F$4,$S923-4,0)))</f>
        <v/>
      </c>
      <c r="H923" s="293" t="str">
        <f ca="1">IF(ISERROR($S923),"",OFFSET('Smelter Reference List'!$G$4,$S923-4,0))</f>
        <v/>
      </c>
      <c r="I923" s="294" t="str">
        <f ca="1">IF(ISERROR($S923),"",OFFSET('Smelter Reference List'!$H$4,$S923-4,0))</f>
        <v/>
      </c>
      <c r="J923" s="294" t="str">
        <f ca="1">IF(ISERROR($S923),"",OFFSET('Smelter Reference List'!$I$4,$S923-4,0))</f>
        <v/>
      </c>
      <c r="K923" s="295"/>
      <c r="L923" s="295"/>
      <c r="M923" s="295"/>
      <c r="N923" s="295"/>
      <c r="O923" s="295"/>
      <c r="P923" s="295"/>
      <c r="Q923" s="296"/>
      <c r="R923" s="227"/>
      <c r="S923" s="228" t="e">
        <f>IF(C923="",NA(),MATCH($B923&amp;$C923,'Smelter Reference List'!$J:$J,0))</f>
        <v>#N/A</v>
      </c>
      <c r="T923" s="229"/>
      <c r="U923" s="229">
        <f t="shared" ca="1" si="30"/>
        <v>0</v>
      </c>
      <c r="V923" s="229"/>
      <c r="W923" s="229"/>
      <c r="Y923" s="223" t="str">
        <f t="shared" si="31"/>
        <v/>
      </c>
    </row>
    <row r="924" spans="1:25" s="223" customFormat="1" ht="20.25">
      <c r="A924" s="291"/>
      <c r="B924" s="292" t="str">
        <f>IF(LEN(A924)=0,"",INDEX('Smelter Reference List'!$A:$A,MATCH($A924,'Smelter Reference List'!$E:$E,0)))</f>
        <v/>
      </c>
      <c r="C924" s="298" t="str">
        <f>IF(LEN(A924)=0,"",INDEX('Smelter Reference List'!$C:$C,MATCH($A924,'Smelter Reference List'!$E:$E,0)))</f>
        <v/>
      </c>
      <c r="D924" s="292" t="str">
        <f ca="1">IF(ISERROR($S924),"",OFFSET('Smelter Reference List'!$C$4,$S924-4,0)&amp;"")</f>
        <v/>
      </c>
      <c r="E924" s="292" t="str">
        <f ca="1">IF(ISERROR($S924),"",OFFSET('Smelter Reference List'!$D$4,$S924-4,0)&amp;"")</f>
        <v/>
      </c>
      <c r="F924" s="292" t="str">
        <f ca="1">IF(ISERROR($S924),"",OFFSET('Smelter Reference List'!$E$4,$S924-4,0))</f>
        <v/>
      </c>
      <c r="G924" s="292" t="str">
        <f ca="1">IF(C924=$U$4,"Enter smelter details", IF(ISERROR($S924),"",OFFSET('Smelter Reference List'!$F$4,$S924-4,0)))</f>
        <v/>
      </c>
      <c r="H924" s="293" t="str">
        <f ca="1">IF(ISERROR($S924),"",OFFSET('Smelter Reference List'!$G$4,$S924-4,0))</f>
        <v/>
      </c>
      <c r="I924" s="294" t="str">
        <f ca="1">IF(ISERROR($S924),"",OFFSET('Smelter Reference List'!$H$4,$S924-4,0))</f>
        <v/>
      </c>
      <c r="J924" s="294" t="str">
        <f ca="1">IF(ISERROR($S924),"",OFFSET('Smelter Reference List'!$I$4,$S924-4,0))</f>
        <v/>
      </c>
      <c r="K924" s="295"/>
      <c r="L924" s="295"/>
      <c r="M924" s="295"/>
      <c r="N924" s="295"/>
      <c r="O924" s="295"/>
      <c r="P924" s="295"/>
      <c r="Q924" s="296"/>
      <c r="R924" s="227"/>
      <c r="S924" s="228" t="e">
        <f>IF(C924="",NA(),MATCH($B924&amp;$C924,'Smelter Reference List'!$J:$J,0))</f>
        <v>#N/A</v>
      </c>
      <c r="T924" s="229"/>
      <c r="U924" s="229">
        <f t="shared" ca="1" si="30"/>
        <v>0</v>
      </c>
      <c r="V924" s="229"/>
      <c r="W924" s="229"/>
      <c r="Y924" s="223" t="str">
        <f t="shared" si="31"/>
        <v/>
      </c>
    </row>
    <row r="925" spans="1:25" s="223" customFormat="1" ht="20.25">
      <c r="A925" s="291"/>
      <c r="B925" s="292" t="str">
        <f>IF(LEN(A925)=0,"",INDEX('Smelter Reference List'!$A:$A,MATCH($A925,'Smelter Reference List'!$E:$E,0)))</f>
        <v/>
      </c>
      <c r="C925" s="298" t="str">
        <f>IF(LEN(A925)=0,"",INDEX('Smelter Reference List'!$C:$C,MATCH($A925,'Smelter Reference List'!$E:$E,0)))</f>
        <v/>
      </c>
      <c r="D925" s="292" t="str">
        <f ca="1">IF(ISERROR($S925),"",OFFSET('Smelter Reference List'!$C$4,$S925-4,0)&amp;"")</f>
        <v/>
      </c>
      <c r="E925" s="292" t="str">
        <f ca="1">IF(ISERROR($S925),"",OFFSET('Smelter Reference List'!$D$4,$S925-4,0)&amp;"")</f>
        <v/>
      </c>
      <c r="F925" s="292" t="str">
        <f ca="1">IF(ISERROR($S925),"",OFFSET('Smelter Reference List'!$E$4,$S925-4,0))</f>
        <v/>
      </c>
      <c r="G925" s="292" t="str">
        <f ca="1">IF(C925=$U$4,"Enter smelter details", IF(ISERROR($S925),"",OFFSET('Smelter Reference List'!$F$4,$S925-4,0)))</f>
        <v/>
      </c>
      <c r="H925" s="293" t="str">
        <f ca="1">IF(ISERROR($S925),"",OFFSET('Smelter Reference List'!$G$4,$S925-4,0))</f>
        <v/>
      </c>
      <c r="I925" s="294" t="str">
        <f ca="1">IF(ISERROR($S925),"",OFFSET('Smelter Reference List'!$H$4,$S925-4,0))</f>
        <v/>
      </c>
      <c r="J925" s="294" t="str">
        <f ca="1">IF(ISERROR($S925),"",OFFSET('Smelter Reference List'!$I$4,$S925-4,0))</f>
        <v/>
      </c>
      <c r="K925" s="295"/>
      <c r="L925" s="295"/>
      <c r="M925" s="295"/>
      <c r="N925" s="295"/>
      <c r="O925" s="295"/>
      <c r="P925" s="295"/>
      <c r="Q925" s="296"/>
      <c r="R925" s="227"/>
      <c r="S925" s="228" t="e">
        <f>IF(C925="",NA(),MATCH($B925&amp;$C925,'Smelter Reference List'!$J:$J,0))</f>
        <v>#N/A</v>
      </c>
      <c r="T925" s="229"/>
      <c r="U925" s="229">
        <f t="shared" ca="1" si="30"/>
        <v>0</v>
      </c>
      <c r="V925" s="229"/>
      <c r="W925" s="229"/>
      <c r="Y925" s="223" t="str">
        <f t="shared" si="31"/>
        <v/>
      </c>
    </row>
    <row r="926" spans="1:25" s="223" customFormat="1" ht="20.25">
      <c r="A926" s="291"/>
      <c r="B926" s="292" t="str">
        <f>IF(LEN(A926)=0,"",INDEX('Smelter Reference List'!$A:$A,MATCH($A926,'Smelter Reference List'!$E:$E,0)))</f>
        <v/>
      </c>
      <c r="C926" s="298" t="str">
        <f>IF(LEN(A926)=0,"",INDEX('Smelter Reference List'!$C:$C,MATCH($A926,'Smelter Reference List'!$E:$E,0)))</f>
        <v/>
      </c>
      <c r="D926" s="292" t="str">
        <f ca="1">IF(ISERROR($S926),"",OFFSET('Smelter Reference List'!$C$4,$S926-4,0)&amp;"")</f>
        <v/>
      </c>
      <c r="E926" s="292" t="str">
        <f ca="1">IF(ISERROR($S926),"",OFFSET('Smelter Reference List'!$D$4,$S926-4,0)&amp;"")</f>
        <v/>
      </c>
      <c r="F926" s="292" t="str">
        <f ca="1">IF(ISERROR($S926),"",OFFSET('Smelter Reference List'!$E$4,$S926-4,0))</f>
        <v/>
      </c>
      <c r="G926" s="292" t="str">
        <f ca="1">IF(C926=$U$4,"Enter smelter details", IF(ISERROR($S926),"",OFFSET('Smelter Reference List'!$F$4,$S926-4,0)))</f>
        <v/>
      </c>
      <c r="H926" s="293" t="str">
        <f ca="1">IF(ISERROR($S926),"",OFFSET('Smelter Reference List'!$G$4,$S926-4,0))</f>
        <v/>
      </c>
      <c r="I926" s="294" t="str">
        <f ca="1">IF(ISERROR($S926),"",OFFSET('Smelter Reference List'!$H$4,$S926-4,0))</f>
        <v/>
      </c>
      <c r="J926" s="294" t="str">
        <f ca="1">IF(ISERROR($S926),"",OFFSET('Smelter Reference List'!$I$4,$S926-4,0))</f>
        <v/>
      </c>
      <c r="K926" s="295"/>
      <c r="L926" s="295"/>
      <c r="M926" s="295"/>
      <c r="N926" s="295"/>
      <c r="O926" s="295"/>
      <c r="P926" s="295"/>
      <c r="Q926" s="296"/>
      <c r="R926" s="227"/>
      <c r="S926" s="228" t="e">
        <f>IF(C926="",NA(),MATCH($B926&amp;$C926,'Smelter Reference List'!$J:$J,0))</f>
        <v>#N/A</v>
      </c>
      <c r="T926" s="229"/>
      <c r="U926" s="229">
        <f t="shared" ca="1" si="30"/>
        <v>0</v>
      </c>
      <c r="V926" s="229"/>
      <c r="W926" s="229"/>
      <c r="Y926" s="223" t="str">
        <f t="shared" si="31"/>
        <v/>
      </c>
    </row>
    <row r="927" spans="1:25" s="223" customFormat="1" ht="20.25">
      <c r="A927" s="291"/>
      <c r="B927" s="292" t="str">
        <f>IF(LEN(A927)=0,"",INDEX('Smelter Reference List'!$A:$A,MATCH($A927,'Smelter Reference List'!$E:$E,0)))</f>
        <v/>
      </c>
      <c r="C927" s="298" t="str">
        <f>IF(LEN(A927)=0,"",INDEX('Smelter Reference List'!$C:$C,MATCH($A927,'Smelter Reference List'!$E:$E,0)))</f>
        <v/>
      </c>
      <c r="D927" s="292" t="str">
        <f ca="1">IF(ISERROR($S927),"",OFFSET('Smelter Reference List'!$C$4,$S927-4,0)&amp;"")</f>
        <v/>
      </c>
      <c r="E927" s="292" t="str">
        <f ca="1">IF(ISERROR($S927),"",OFFSET('Smelter Reference List'!$D$4,$S927-4,0)&amp;"")</f>
        <v/>
      </c>
      <c r="F927" s="292" t="str">
        <f ca="1">IF(ISERROR($S927),"",OFFSET('Smelter Reference List'!$E$4,$S927-4,0))</f>
        <v/>
      </c>
      <c r="G927" s="292" t="str">
        <f ca="1">IF(C927=$U$4,"Enter smelter details", IF(ISERROR($S927),"",OFFSET('Smelter Reference List'!$F$4,$S927-4,0)))</f>
        <v/>
      </c>
      <c r="H927" s="293" t="str">
        <f ca="1">IF(ISERROR($S927),"",OFFSET('Smelter Reference List'!$G$4,$S927-4,0))</f>
        <v/>
      </c>
      <c r="I927" s="294" t="str">
        <f ca="1">IF(ISERROR($S927),"",OFFSET('Smelter Reference List'!$H$4,$S927-4,0))</f>
        <v/>
      </c>
      <c r="J927" s="294" t="str">
        <f ca="1">IF(ISERROR($S927),"",OFFSET('Smelter Reference List'!$I$4,$S927-4,0))</f>
        <v/>
      </c>
      <c r="K927" s="295"/>
      <c r="L927" s="295"/>
      <c r="M927" s="295"/>
      <c r="N927" s="295"/>
      <c r="O927" s="295"/>
      <c r="P927" s="295"/>
      <c r="Q927" s="296"/>
      <c r="R927" s="227"/>
      <c r="S927" s="228" t="e">
        <f>IF(C927="",NA(),MATCH($B927&amp;$C927,'Smelter Reference List'!$J:$J,0))</f>
        <v>#N/A</v>
      </c>
      <c r="T927" s="229"/>
      <c r="U927" s="229">
        <f t="shared" ca="1" si="30"/>
        <v>0</v>
      </c>
      <c r="V927" s="229"/>
      <c r="W927" s="229"/>
      <c r="Y927" s="223" t="str">
        <f t="shared" si="31"/>
        <v/>
      </c>
    </row>
    <row r="928" spans="1:25" s="223" customFormat="1" ht="20.25">
      <c r="A928" s="291"/>
      <c r="B928" s="292" t="str">
        <f>IF(LEN(A928)=0,"",INDEX('Smelter Reference List'!$A:$A,MATCH($A928,'Smelter Reference List'!$E:$E,0)))</f>
        <v/>
      </c>
      <c r="C928" s="298" t="str">
        <f>IF(LEN(A928)=0,"",INDEX('Smelter Reference List'!$C:$C,MATCH($A928,'Smelter Reference List'!$E:$E,0)))</f>
        <v/>
      </c>
      <c r="D928" s="292" t="str">
        <f ca="1">IF(ISERROR($S928),"",OFFSET('Smelter Reference List'!$C$4,$S928-4,0)&amp;"")</f>
        <v/>
      </c>
      <c r="E928" s="292" t="str">
        <f ca="1">IF(ISERROR($S928),"",OFFSET('Smelter Reference List'!$D$4,$S928-4,0)&amp;"")</f>
        <v/>
      </c>
      <c r="F928" s="292" t="str">
        <f ca="1">IF(ISERROR($S928),"",OFFSET('Smelter Reference List'!$E$4,$S928-4,0))</f>
        <v/>
      </c>
      <c r="G928" s="292" t="str">
        <f ca="1">IF(C928=$U$4,"Enter smelter details", IF(ISERROR($S928),"",OFFSET('Smelter Reference List'!$F$4,$S928-4,0)))</f>
        <v/>
      </c>
      <c r="H928" s="293" t="str">
        <f ca="1">IF(ISERROR($S928),"",OFFSET('Smelter Reference List'!$G$4,$S928-4,0))</f>
        <v/>
      </c>
      <c r="I928" s="294" t="str">
        <f ca="1">IF(ISERROR($S928),"",OFFSET('Smelter Reference List'!$H$4,$S928-4,0))</f>
        <v/>
      </c>
      <c r="J928" s="294" t="str">
        <f ca="1">IF(ISERROR($S928),"",OFFSET('Smelter Reference List'!$I$4,$S928-4,0))</f>
        <v/>
      </c>
      <c r="K928" s="295"/>
      <c r="L928" s="295"/>
      <c r="M928" s="295"/>
      <c r="N928" s="295"/>
      <c r="O928" s="295"/>
      <c r="P928" s="295"/>
      <c r="Q928" s="296"/>
      <c r="R928" s="227"/>
      <c r="S928" s="228" t="e">
        <f>IF(C928="",NA(),MATCH($B928&amp;$C928,'Smelter Reference List'!$J:$J,0))</f>
        <v>#N/A</v>
      </c>
      <c r="T928" s="229"/>
      <c r="U928" s="229">
        <f t="shared" ca="1" si="30"/>
        <v>0</v>
      </c>
      <c r="V928" s="229"/>
      <c r="W928" s="229"/>
      <c r="Y928" s="223" t="str">
        <f t="shared" si="31"/>
        <v/>
      </c>
    </row>
    <row r="929" spans="1:25" s="223" customFormat="1" ht="20.25">
      <c r="A929" s="291"/>
      <c r="B929" s="292" t="str">
        <f>IF(LEN(A929)=0,"",INDEX('Smelter Reference List'!$A:$A,MATCH($A929,'Smelter Reference List'!$E:$E,0)))</f>
        <v/>
      </c>
      <c r="C929" s="298" t="str">
        <f>IF(LEN(A929)=0,"",INDEX('Smelter Reference List'!$C:$C,MATCH($A929,'Smelter Reference List'!$E:$E,0)))</f>
        <v/>
      </c>
      <c r="D929" s="292" t="str">
        <f ca="1">IF(ISERROR($S929),"",OFFSET('Smelter Reference List'!$C$4,$S929-4,0)&amp;"")</f>
        <v/>
      </c>
      <c r="E929" s="292" t="str">
        <f ca="1">IF(ISERROR($S929),"",OFFSET('Smelter Reference List'!$D$4,$S929-4,0)&amp;"")</f>
        <v/>
      </c>
      <c r="F929" s="292" t="str">
        <f ca="1">IF(ISERROR($S929),"",OFFSET('Smelter Reference List'!$E$4,$S929-4,0))</f>
        <v/>
      </c>
      <c r="G929" s="292" t="str">
        <f ca="1">IF(C929=$U$4,"Enter smelter details", IF(ISERROR($S929),"",OFFSET('Smelter Reference List'!$F$4,$S929-4,0)))</f>
        <v/>
      </c>
      <c r="H929" s="293" t="str">
        <f ca="1">IF(ISERROR($S929),"",OFFSET('Smelter Reference List'!$G$4,$S929-4,0))</f>
        <v/>
      </c>
      <c r="I929" s="294" t="str">
        <f ca="1">IF(ISERROR($S929),"",OFFSET('Smelter Reference List'!$H$4,$S929-4,0))</f>
        <v/>
      </c>
      <c r="J929" s="294" t="str">
        <f ca="1">IF(ISERROR($S929),"",OFFSET('Smelter Reference List'!$I$4,$S929-4,0))</f>
        <v/>
      </c>
      <c r="K929" s="295"/>
      <c r="L929" s="295"/>
      <c r="M929" s="295"/>
      <c r="N929" s="295"/>
      <c r="O929" s="295"/>
      <c r="P929" s="295"/>
      <c r="Q929" s="296"/>
      <c r="R929" s="227"/>
      <c r="S929" s="228" t="e">
        <f>IF(C929="",NA(),MATCH($B929&amp;$C929,'Smelter Reference List'!$J:$J,0))</f>
        <v>#N/A</v>
      </c>
      <c r="T929" s="229"/>
      <c r="U929" s="229">
        <f t="shared" ca="1" si="30"/>
        <v>0</v>
      </c>
      <c r="V929" s="229"/>
      <c r="W929" s="229"/>
      <c r="Y929" s="223" t="str">
        <f t="shared" si="31"/>
        <v/>
      </c>
    </row>
    <row r="930" spans="1:25" s="223" customFormat="1" ht="20.25">
      <c r="A930" s="291"/>
      <c r="B930" s="292" t="str">
        <f>IF(LEN(A930)=0,"",INDEX('Smelter Reference List'!$A:$A,MATCH($A930,'Smelter Reference List'!$E:$E,0)))</f>
        <v/>
      </c>
      <c r="C930" s="298" t="str">
        <f>IF(LEN(A930)=0,"",INDEX('Smelter Reference List'!$C:$C,MATCH($A930,'Smelter Reference List'!$E:$E,0)))</f>
        <v/>
      </c>
      <c r="D930" s="292" t="str">
        <f ca="1">IF(ISERROR($S930),"",OFFSET('Smelter Reference List'!$C$4,$S930-4,0)&amp;"")</f>
        <v/>
      </c>
      <c r="E930" s="292" t="str">
        <f ca="1">IF(ISERROR($S930),"",OFFSET('Smelter Reference List'!$D$4,$S930-4,0)&amp;"")</f>
        <v/>
      </c>
      <c r="F930" s="292" t="str">
        <f ca="1">IF(ISERROR($S930),"",OFFSET('Smelter Reference List'!$E$4,$S930-4,0))</f>
        <v/>
      </c>
      <c r="G930" s="292" t="str">
        <f ca="1">IF(C930=$U$4,"Enter smelter details", IF(ISERROR($S930),"",OFFSET('Smelter Reference List'!$F$4,$S930-4,0)))</f>
        <v/>
      </c>
      <c r="H930" s="293" t="str">
        <f ca="1">IF(ISERROR($S930),"",OFFSET('Smelter Reference List'!$G$4,$S930-4,0))</f>
        <v/>
      </c>
      <c r="I930" s="294" t="str">
        <f ca="1">IF(ISERROR($S930),"",OFFSET('Smelter Reference List'!$H$4,$S930-4,0))</f>
        <v/>
      </c>
      <c r="J930" s="294" t="str">
        <f ca="1">IF(ISERROR($S930),"",OFFSET('Smelter Reference List'!$I$4,$S930-4,0))</f>
        <v/>
      </c>
      <c r="K930" s="295"/>
      <c r="L930" s="295"/>
      <c r="M930" s="295"/>
      <c r="N930" s="295"/>
      <c r="O930" s="295"/>
      <c r="P930" s="295"/>
      <c r="Q930" s="296"/>
      <c r="R930" s="227"/>
      <c r="S930" s="228" t="e">
        <f>IF(C930="",NA(),MATCH($B930&amp;$C930,'Smelter Reference List'!$J:$J,0))</f>
        <v>#N/A</v>
      </c>
      <c r="T930" s="229"/>
      <c r="U930" s="229">
        <f t="shared" ca="1" si="30"/>
        <v>0</v>
      </c>
      <c r="V930" s="229"/>
      <c r="W930" s="229"/>
      <c r="Y930" s="223" t="str">
        <f t="shared" si="31"/>
        <v/>
      </c>
    </row>
    <row r="931" spans="1:25" s="223" customFormat="1" ht="20.25">
      <c r="A931" s="291"/>
      <c r="B931" s="292" t="str">
        <f>IF(LEN(A931)=0,"",INDEX('Smelter Reference List'!$A:$A,MATCH($A931,'Smelter Reference List'!$E:$E,0)))</f>
        <v/>
      </c>
      <c r="C931" s="298" t="str">
        <f>IF(LEN(A931)=0,"",INDEX('Smelter Reference List'!$C:$C,MATCH($A931,'Smelter Reference List'!$E:$E,0)))</f>
        <v/>
      </c>
      <c r="D931" s="292" t="str">
        <f ca="1">IF(ISERROR($S931),"",OFFSET('Smelter Reference List'!$C$4,$S931-4,0)&amp;"")</f>
        <v/>
      </c>
      <c r="E931" s="292" t="str">
        <f ca="1">IF(ISERROR($S931),"",OFFSET('Smelter Reference List'!$D$4,$S931-4,0)&amp;"")</f>
        <v/>
      </c>
      <c r="F931" s="292" t="str">
        <f ca="1">IF(ISERROR($S931),"",OFFSET('Smelter Reference List'!$E$4,$S931-4,0))</f>
        <v/>
      </c>
      <c r="G931" s="292" t="str">
        <f ca="1">IF(C931=$U$4,"Enter smelter details", IF(ISERROR($S931),"",OFFSET('Smelter Reference List'!$F$4,$S931-4,0)))</f>
        <v/>
      </c>
      <c r="H931" s="293" t="str">
        <f ca="1">IF(ISERROR($S931),"",OFFSET('Smelter Reference List'!$G$4,$S931-4,0))</f>
        <v/>
      </c>
      <c r="I931" s="294" t="str">
        <f ca="1">IF(ISERROR($S931),"",OFFSET('Smelter Reference List'!$H$4,$S931-4,0))</f>
        <v/>
      </c>
      <c r="J931" s="294" t="str">
        <f ca="1">IF(ISERROR($S931),"",OFFSET('Smelter Reference List'!$I$4,$S931-4,0))</f>
        <v/>
      </c>
      <c r="K931" s="295"/>
      <c r="L931" s="295"/>
      <c r="M931" s="295"/>
      <c r="N931" s="295"/>
      <c r="O931" s="295"/>
      <c r="P931" s="295"/>
      <c r="Q931" s="296"/>
      <c r="R931" s="227"/>
      <c r="S931" s="228" t="e">
        <f>IF(C931="",NA(),MATCH($B931&amp;$C931,'Smelter Reference List'!$J:$J,0))</f>
        <v>#N/A</v>
      </c>
      <c r="T931" s="229"/>
      <c r="U931" s="229">
        <f t="shared" ca="1" si="30"/>
        <v>0</v>
      </c>
      <c r="V931" s="229"/>
      <c r="W931" s="229"/>
      <c r="Y931" s="223" t="str">
        <f t="shared" si="31"/>
        <v/>
      </c>
    </row>
    <row r="932" spans="1:25" s="223" customFormat="1" ht="20.25">
      <c r="A932" s="291"/>
      <c r="B932" s="292" t="str">
        <f>IF(LEN(A932)=0,"",INDEX('Smelter Reference List'!$A:$A,MATCH($A932,'Smelter Reference List'!$E:$E,0)))</f>
        <v/>
      </c>
      <c r="C932" s="298" t="str">
        <f>IF(LEN(A932)=0,"",INDEX('Smelter Reference List'!$C:$C,MATCH($A932,'Smelter Reference List'!$E:$E,0)))</f>
        <v/>
      </c>
      <c r="D932" s="292" t="str">
        <f ca="1">IF(ISERROR($S932),"",OFFSET('Smelter Reference List'!$C$4,$S932-4,0)&amp;"")</f>
        <v/>
      </c>
      <c r="E932" s="292" t="str">
        <f ca="1">IF(ISERROR($S932),"",OFFSET('Smelter Reference List'!$D$4,$S932-4,0)&amp;"")</f>
        <v/>
      </c>
      <c r="F932" s="292" t="str">
        <f ca="1">IF(ISERROR($S932),"",OFFSET('Smelter Reference List'!$E$4,$S932-4,0))</f>
        <v/>
      </c>
      <c r="G932" s="292" t="str">
        <f ca="1">IF(C932=$U$4,"Enter smelter details", IF(ISERROR($S932),"",OFFSET('Smelter Reference List'!$F$4,$S932-4,0)))</f>
        <v/>
      </c>
      <c r="H932" s="293" t="str">
        <f ca="1">IF(ISERROR($S932),"",OFFSET('Smelter Reference List'!$G$4,$S932-4,0))</f>
        <v/>
      </c>
      <c r="I932" s="294" t="str">
        <f ca="1">IF(ISERROR($S932),"",OFFSET('Smelter Reference List'!$H$4,$S932-4,0))</f>
        <v/>
      </c>
      <c r="J932" s="294" t="str">
        <f ca="1">IF(ISERROR($S932),"",OFFSET('Smelter Reference List'!$I$4,$S932-4,0))</f>
        <v/>
      </c>
      <c r="K932" s="295"/>
      <c r="L932" s="295"/>
      <c r="M932" s="295"/>
      <c r="N932" s="295"/>
      <c r="O932" s="295"/>
      <c r="P932" s="295"/>
      <c r="Q932" s="296"/>
      <c r="R932" s="227"/>
      <c r="S932" s="228" t="e">
        <f>IF(C932="",NA(),MATCH($B932&amp;$C932,'Smelter Reference List'!$J:$J,0))</f>
        <v>#N/A</v>
      </c>
      <c r="T932" s="229"/>
      <c r="U932" s="229">
        <f t="shared" ca="1" si="30"/>
        <v>0</v>
      </c>
      <c r="V932" s="229"/>
      <c r="W932" s="229"/>
      <c r="Y932" s="223" t="str">
        <f t="shared" si="31"/>
        <v/>
      </c>
    </row>
    <row r="933" spans="1:25" s="223" customFormat="1" ht="20.25">
      <c r="A933" s="291"/>
      <c r="B933" s="292" t="str">
        <f>IF(LEN(A933)=0,"",INDEX('Smelter Reference List'!$A:$A,MATCH($A933,'Smelter Reference List'!$E:$E,0)))</f>
        <v/>
      </c>
      <c r="C933" s="298" t="str">
        <f>IF(LEN(A933)=0,"",INDEX('Smelter Reference List'!$C:$C,MATCH($A933,'Smelter Reference List'!$E:$E,0)))</f>
        <v/>
      </c>
      <c r="D933" s="292" t="str">
        <f ca="1">IF(ISERROR($S933),"",OFFSET('Smelter Reference List'!$C$4,$S933-4,0)&amp;"")</f>
        <v/>
      </c>
      <c r="E933" s="292" t="str">
        <f ca="1">IF(ISERROR($S933),"",OFFSET('Smelter Reference List'!$D$4,$S933-4,0)&amp;"")</f>
        <v/>
      </c>
      <c r="F933" s="292" t="str">
        <f ca="1">IF(ISERROR($S933),"",OFFSET('Smelter Reference List'!$E$4,$S933-4,0))</f>
        <v/>
      </c>
      <c r="G933" s="292" t="str">
        <f ca="1">IF(C933=$U$4,"Enter smelter details", IF(ISERROR($S933),"",OFFSET('Smelter Reference List'!$F$4,$S933-4,0)))</f>
        <v/>
      </c>
      <c r="H933" s="293" t="str">
        <f ca="1">IF(ISERROR($S933),"",OFFSET('Smelter Reference List'!$G$4,$S933-4,0))</f>
        <v/>
      </c>
      <c r="I933" s="294" t="str">
        <f ca="1">IF(ISERROR($S933),"",OFFSET('Smelter Reference List'!$H$4,$S933-4,0))</f>
        <v/>
      </c>
      <c r="J933" s="294" t="str">
        <f ca="1">IF(ISERROR($S933),"",OFFSET('Smelter Reference List'!$I$4,$S933-4,0))</f>
        <v/>
      </c>
      <c r="K933" s="295"/>
      <c r="L933" s="295"/>
      <c r="M933" s="295"/>
      <c r="N933" s="295"/>
      <c r="O933" s="295"/>
      <c r="P933" s="295"/>
      <c r="Q933" s="296"/>
      <c r="R933" s="227"/>
      <c r="S933" s="228" t="e">
        <f>IF(C933="",NA(),MATCH($B933&amp;$C933,'Smelter Reference List'!$J:$J,0))</f>
        <v>#N/A</v>
      </c>
      <c r="T933" s="229"/>
      <c r="U933" s="229">
        <f t="shared" ca="1" si="30"/>
        <v>0</v>
      </c>
      <c r="V933" s="229"/>
      <c r="W933" s="229"/>
      <c r="Y933" s="223" t="str">
        <f t="shared" si="31"/>
        <v/>
      </c>
    </row>
    <row r="934" spans="1:25" s="223" customFormat="1" ht="20.25">
      <c r="A934" s="291"/>
      <c r="B934" s="292" t="str">
        <f>IF(LEN(A934)=0,"",INDEX('Smelter Reference List'!$A:$A,MATCH($A934,'Smelter Reference List'!$E:$E,0)))</f>
        <v/>
      </c>
      <c r="C934" s="298" t="str">
        <f>IF(LEN(A934)=0,"",INDEX('Smelter Reference List'!$C:$C,MATCH($A934,'Smelter Reference List'!$E:$E,0)))</f>
        <v/>
      </c>
      <c r="D934" s="292" t="str">
        <f ca="1">IF(ISERROR($S934),"",OFFSET('Smelter Reference List'!$C$4,$S934-4,0)&amp;"")</f>
        <v/>
      </c>
      <c r="E934" s="292" t="str">
        <f ca="1">IF(ISERROR($S934),"",OFFSET('Smelter Reference List'!$D$4,$S934-4,0)&amp;"")</f>
        <v/>
      </c>
      <c r="F934" s="292" t="str">
        <f ca="1">IF(ISERROR($S934),"",OFFSET('Smelter Reference List'!$E$4,$S934-4,0))</f>
        <v/>
      </c>
      <c r="G934" s="292" t="str">
        <f ca="1">IF(C934=$U$4,"Enter smelter details", IF(ISERROR($S934),"",OFFSET('Smelter Reference List'!$F$4,$S934-4,0)))</f>
        <v/>
      </c>
      <c r="H934" s="293" t="str">
        <f ca="1">IF(ISERROR($S934),"",OFFSET('Smelter Reference List'!$G$4,$S934-4,0))</f>
        <v/>
      </c>
      <c r="I934" s="294" t="str">
        <f ca="1">IF(ISERROR($S934),"",OFFSET('Smelter Reference List'!$H$4,$S934-4,0))</f>
        <v/>
      </c>
      <c r="J934" s="294" t="str">
        <f ca="1">IF(ISERROR($S934),"",OFFSET('Smelter Reference List'!$I$4,$S934-4,0))</f>
        <v/>
      </c>
      <c r="K934" s="295"/>
      <c r="L934" s="295"/>
      <c r="M934" s="295"/>
      <c r="N934" s="295"/>
      <c r="O934" s="295"/>
      <c r="P934" s="295"/>
      <c r="Q934" s="296"/>
      <c r="R934" s="227"/>
      <c r="S934" s="228" t="e">
        <f>IF(C934="",NA(),MATCH($B934&amp;$C934,'Smelter Reference List'!$J:$J,0))</f>
        <v>#N/A</v>
      </c>
      <c r="T934" s="229"/>
      <c r="U934" s="229">
        <f t="shared" ca="1" si="30"/>
        <v>0</v>
      </c>
      <c r="V934" s="229"/>
      <c r="W934" s="229"/>
      <c r="Y934" s="223" t="str">
        <f t="shared" si="31"/>
        <v/>
      </c>
    </row>
    <row r="935" spans="1:25" s="223" customFormat="1" ht="20.25">
      <c r="A935" s="291"/>
      <c r="B935" s="292" t="str">
        <f>IF(LEN(A935)=0,"",INDEX('Smelter Reference List'!$A:$A,MATCH($A935,'Smelter Reference List'!$E:$E,0)))</f>
        <v/>
      </c>
      <c r="C935" s="298" t="str">
        <f>IF(LEN(A935)=0,"",INDEX('Smelter Reference List'!$C:$C,MATCH($A935,'Smelter Reference List'!$E:$E,0)))</f>
        <v/>
      </c>
      <c r="D935" s="292" t="str">
        <f ca="1">IF(ISERROR($S935),"",OFFSET('Smelter Reference List'!$C$4,$S935-4,0)&amp;"")</f>
        <v/>
      </c>
      <c r="E935" s="292" t="str">
        <f ca="1">IF(ISERROR($S935),"",OFFSET('Smelter Reference List'!$D$4,$S935-4,0)&amp;"")</f>
        <v/>
      </c>
      <c r="F935" s="292" t="str">
        <f ca="1">IF(ISERROR($S935),"",OFFSET('Smelter Reference List'!$E$4,$S935-4,0))</f>
        <v/>
      </c>
      <c r="G935" s="292" t="str">
        <f ca="1">IF(C935=$U$4,"Enter smelter details", IF(ISERROR($S935),"",OFFSET('Smelter Reference List'!$F$4,$S935-4,0)))</f>
        <v/>
      </c>
      <c r="H935" s="293" t="str">
        <f ca="1">IF(ISERROR($S935),"",OFFSET('Smelter Reference List'!$G$4,$S935-4,0))</f>
        <v/>
      </c>
      <c r="I935" s="294" t="str">
        <f ca="1">IF(ISERROR($S935),"",OFFSET('Smelter Reference List'!$H$4,$S935-4,0))</f>
        <v/>
      </c>
      <c r="J935" s="294" t="str">
        <f ca="1">IF(ISERROR($S935),"",OFFSET('Smelter Reference List'!$I$4,$S935-4,0))</f>
        <v/>
      </c>
      <c r="K935" s="295"/>
      <c r="L935" s="295"/>
      <c r="M935" s="295"/>
      <c r="N935" s="295"/>
      <c r="O935" s="295"/>
      <c r="P935" s="295"/>
      <c r="Q935" s="296"/>
      <c r="R935" s="227"/>
      <c r="S935" s="228" t="e">
        <f>IF(C935="",NA(),MATCH($B935&amp;$C935,'Smelter Reference List'!$J:$J,0))</f>
        <v>#N/A</v>
      </c>
      <c r="T935" s="229"/>
      <c r="U935" s="229">
        <f t="shared" ca="1" si="30"/>
        <v>0</v>
      </c>
      <c r="V935" s="229"/>
      <c r="W935" s="229"/>
      <c r="Y935" s="223" t="str">
        <f t="shared" si="31"/>
        <v/>
      </c>
    </row>
    <row r="936" spans="1:25" s="223" customFormat="1" ht="20.25">
      <c r="A936" s="291"/>
      <c r="B936" s="292" t="str">
        <f>IF(LEN(A936)=0,"",INDEX('Smelter Reference List'!$A:$A,MATCH($A936,'Smelter Reference List'!$E:$E,0)))</f>
        <v/>
      </c>
      <c r="C936" s="298" t="str">
        <f>IF(LEN(A936)=0,"",INDEX('Smelter Reference List'!$C:$C,MATCH($A936,'Smelter Reference List'!$E:$E,0)))</f>
        <v/>
      </c>
      <c r="D936" s="292" t="str">
        <f ca="1">IF(ISERROR($S936),"",OFFSET('Smelter Reference List'!$C$4,$S936-4,0)&amp;"")</f>
        <v/>
      </c>
      <c r="E936" s="292" t="str">
        <f ca="1">IF(ISERROR($S936),"",OFFSET('Smelter Reference List'!$D$4,$S936-4,0)&amp;"")</f>
        <v/>
      </c>
      <c r="F936" s="292" t="str">
        <f ca="1">IF(ISERROR($S936),"",OFFSET('Smelter Reference List'!$E$4,$S936-4,0))</f>
        <v/>
      </c>
      <c r="G936" s="292" t="str">
        <f ca="1">IF(C936=$U$4,"Enter smelter details", IF(ISERROR($S936),"",OFFSET('Smelter Reference List'!$F$4,$S936-4,0)))</f>
        <v/>
      </c>
      <c r="H936" s="293" t="str">
        <f ca="1">IF(ISERROR($S936),"",OFFSET('Smelter Reference List'!$G$4,$S936-4,0))</f>
        <v/>
      </c>
      <c r="I936" s="294" t="str">
        <f ca="1">IF(ISERROR($S936),"",OFFSET('Smelter Reference List'!$H$4,$S936-4,0))</f>
        <v/>
      </c>
      <c r="J936" s="294" t="str">
        <f ca="1">IF(ISERROR($S936),"",OFFSET('Smelter Reference List'!$I$4,$S936-4,0))</f>
        <v/>
      </c>
      <c r="K936" s="295"/>
      <c r="L936" s="295"/>
      <c r="M936" s="295"/>
      <c r="N936" s="295"/>
      <c r="O936" s="295"/>
      <c r="P936" s="295"/>
      <c r="Q936" s="296"/>
      <c r="R936" s="227"/>
      <c r="S936" s="228" t="e">
        <f>IF(C936="",NA(),MATCH($B936&amp;$C936,'Smelter Reference List'!$J:$J,0))</f>
        <v>#N/A</v>
      </c>
      <c r="T936" s="229"/>
      <c r="U936" s="229">
        <f t="shared" ca="1" si="30"/>
        <v>0</v>
      </c>
      <c r="V936" s="229"/>
      <c r="W936" s="229"/>
      <c r="Y936" s="223" t="str">
        <f t="shared" si="31"/>
        <v/>
      </c>
    </row>
    <row r="937" spans="1:25" s="223" customFormat="1" ht="20.25">
      <c r="A937" s="291"/>
      <c r="B937" s="292" t="str">
        <f>IF(LEN(A937)=0,"",INDEX('Smelter Reference List'!$A:$A,MATCH($A937,'Smelter Reference List'!$E:$E,0)))</f>
        <v/>
      </c>
      <c r="C937" s="298" t="str">
        <f>IF(LEN(A937)=0,"",INDEX('Smelter Reference List'!$C:$C,MATCH($A937,'Smelter Reference List'!$E:$E,0)))</f>
        <v/>
      </c>
      <c r="D937" s="292" t="str">
        <f ca="1">IF(ISERROR($S937),"",OFFSET('Smelter Reference List'!$C$4,$S937-4,0)&amp;"")</f>
        <v/>
      </c>
      <c r="E937" s="292" t="str">
        <f ca="1">IF(ISERROR($S937),"",OFFSET('Smelter Reference List'!$D$4,$S937-4,0)&amp;"")</f>
        <v/>
      </c>
      <c r="F937" s="292" t="str">
        <f ca="1">IF(ISERROR($S937),"",OFFSET('Smelter Reference List'!$E$4,$S937-4,0))</f>
        <v/>
      </c>
      <c r="G937" s="292" t="str">
        <f ca="1">IF(C937=$U$4,"Enter smelter details", IF(ISERROR($S937),"",OFFSET('Smelter Reference List'!$F$4,$S937-4,0)))</f>
        <v/>
      </c>
      <c r="H937" s="293" t="str">
        <f ca="1">IF(ISERROR($S937),"",OFFSET('Smelter Reference List'!$G$4,$S937-4,0))</f>
        <v/>
      </c>
      <c r="I937" s="294" t="str">
        <f ca="1">IF(ISERROR($S937),"",OFFSET('Smelter Reference List'!$H$4,$S937-4,0))</f>
        <v/>
      </c>
      <c r="J937" s="294" t="str">
        <f ca="1">IF(ISERROR($S937),"",OFFSET('Smelter Reference List'!$I$4,$S937-4,0))</f>
        <v/>
      </c>
      <c r="K937" s="295"/>
      <c r="L937" s="295"/>
      <c r="M937" s="295"/>
      <c r="N937" s="295"/>
      <c r="O937" s="295"/>
      <c r="P937" s="295"/>
      <c r="Q937" s="296"/>
      <c r="R937" s="227"/>
      <c r="S937" s="228" t="e">
        <f>IF(C937="",NA(),MATCH($B937&amp;$C937,'Smelter Reference List'!$J:$J,0))</f>
        <v>#N/A</v>
      </c>
      <c r="T937" s="229"/>
      <c r="U937" s="229">
        <f t="shared" ca="1" si="30"/>
        <v>0</v>
      </c>
      <c r="V937" s="229"/>
      <c r="W937" s="229"/>
      <c r="Y937" s="223" t="str">
        <f t="shared" si="31"/>
        <v/>
      </c>
    </row>
    <row r="938" spans="1:25" s="223" customFormat="1" ht="20.25">
      <c r="A938" s="291"/>
      <c r="B938" s="292" t="str">
        <f>IF(LEN(A938)=0,"",INDEX('Smelter Reference List'!$A:$A,MATCH($A938,'Smelter Reference List'!$E:$E,0)))</f>
        <v/>
      </c>
      <c r="C938" s="298" t="str">
        <f>IF(LEN(A938)=0,"",INDEX('Smelter Reference List'!$C:$C,MATCH($A938,'Smelter Reference List'!$E:$E,0)))</f>
        <v/>
      </c>
      <c r="D938" s="292" t="str">
        <f ca="1">IF(ISERROR($S938),"",OFFSET('Smelter Reference List'!$C$4,$S938-4,0)&amp;"")</f>
        <v/>
      </c>
      <c r="E938" s="292" t="str">
        <f ca="1">IF(ISERROR($S938),"",OFFSET('Smelter Reference List'!$D$4,$S938-4,0)&amp;"")</f>
        <v/>
      </c>
      <c r="F938" s="292" t="str">
        <f ca="1">IF(ISERROR($S938),"",OFFSET('Smelter Reference List'!$E$4,$S938-4,0))</f>
        <v/>
      </c>
      <c r="G938" s="292" t="str">
        <f ca="1">IF(C938=$U$4,"Enter smelter details", IF(ISERROR($S938),"",OFFSET('Smelter Reference List'!$F$4,$S938-4,0)))</f>
        <v/>
      </c>
      <c r="H938" s="293" t="str">
        <f ca="1">IF(ISERROR($S938),"",OFFSET('Smelter Reference List'!$G$4,$S938-4,0))</f>
        <v/>
      </c>
      <c r="I938" s="294" t="str">
        <f ca="1">IF(ISERROR($S938),"",OFFSET('Smelter Reference List'!$H$4,$S938-4,0))</f>
        <v/>
      </c>
      <c r="J938" s="294" t="str">
        <f ca="1">IF(ISERROR($S938),"",OFFSET('Smelter Reference List'!$I$4,$S938-4,0))</f>
        <v/>
      </c>
      <c r="K938" s="295"/>
      <c r="L938" s="295"/>
      <c r="M938" s="295"/>
      <c r="N938" s="295"/>
      <c r="O938" s="295"/>
      <c r="P938" s="295"/>
      <c r="Q938" s="296"/>
      <c r="R938" s="227"/>
      <c r="S938" s="228" t="e">
        <f>IF(C938="",NA(),MATCH($B938&amp;$C938,'Smelter Reference List'!$J:$J,0))</f>
        <v>#N/A</v>
      </c>
      <c r="T938" s="229"/>
      <c r="U938" s="229">
        <f t="shared" ca="1" si="30"/>
        <v>0</v>
      </c>
      <c r="V938" s="229"/>
      <c r="W938" s="229"/>
      <c r="Y938" s="223" t="str">
        <f t="shared" si="31"/>
        <v/>
      </c>
    </row>
    <row r="939" spans="1:25" s="223" customFormat="1" ht="20.25">
      <c r="A939" s="291"/>
      <c r="B939" s="292" t="str">
        <f>IF(LEN(A939)=0,"",INDEX('Smelter Reference List'!$A:$A,MATCH($A939,'Smelter Reference List'!$E:$E,0)))</f>
        <v/>
      </c>
      <c r="C939" s="298" t="str">
        <f>IF(LEN(A939)=0,"",INDEX('Smelter Reference List'!$C:$C,MATCH($A939,'Smelter Reference List'!$E:$E,0)))</f>
        <v/>
      </c>
      <c r="D939" s="292" t="str">
        <f ca="1">IF(ISERROR($S939),"",OFFSET('Smelter Reference List'!$C$4,$S939-4,0)&amp;"")</f>
        <v/>
      </c>
      <c r="E939" s="292" t="str">
        <f ca="1">IF(ISERROR($S939),"",OFFSET('Smelter Reference List'!$D$4,$S939-4,0)&amp;"")</f>
        <v/>
      </c>
      <c r="F939" s="292" t="str">
        <f ca="1">IF(ISERROR($S939),"",OFFSET('Smelter Reference List'!$E$4,$S939-4,0))</f>
        <v/>
      </c>
      <c r="G939" s="292" t="str">
        <f ca="1">IF(C939=$U$4,"Enter smelter details", IF(ISERROR($S939),"",OFFSET('Smelter Reference List'!$F$4,$S939-4,0)))</f>
        <v/>
      </c>
      <c r="H939" s="293" t="str">
        <f ca="1">IF(ISERROR($S939),"",OFFSET('Smelter Reference List'!$G$4,$S939-4,0))</f>
        <v/>
      </c>
      <c r="I939" s="294" t="str">
        <f ca="1">IF(ISERROR($S939),"",OFFSET('Smelter Reference List'!$H$4,$S939-4,0))</f>
        <v/>
      </c>
      <c r="J939" s="294" t="str">
        <f ca="1">IF(ISERROR($S939),"",OFFSET('Smelter Reference List'!$I$4,$S939-4,0))</f>
        <v/>
      </c>
      <c r="K939" s="295"/>
      <c r="L939" s="295"/>
      <c r="M939" s="295"/>
      <c r="N939" s="295"/>
      <c r="O939" s="295"/>
      <c r="P939" s="295"/>
      <c r="Q939" s="296"/>
      <c r="R939" s="227"/>
      <c r="S939" s="228" t="e">
        <f>IF(C939="",NA(),MATCH($B939&amp;$C939,'Smelter Reference List'!$J:$J,0))</f>
        <v>#N/A</v>
      </c>
      <c r="T939" s="229"/>
      <c r="U939" s="229">
        <f t="shared" ca="1" si="30"/>
        <v>0</v>
      </c>
      <c r="V939" s="229"/>
      <c r="W939" s="229"/>
      <c r="Y939" s="223" t="str">
        <f t="shared" si="31"/>
        <v/>
      </c>
    </row>
    <row r="940" spans="1:25" s="223" customFormat="1" ht="20.25">
      <c r="A940" s="291"/>
      <c r="B940" s="292" t="str">
        <f>IF(LEN(A940)=0,"",INDEX('Smelter Reference List'!$A:$A,MATCH($A940,'Smelter Reference List'!$E:$E,0)))</f>
        <v/>
      </c>
      <c r="C940" s="298" t="str">
        <f>IF(LEN(A940)=0,"",INDEX('Smelter Reference List'!$C:$C,MATCH($A940,'Smelter Reference List'!$E:$E,0)))</f>
        <v/>
      </c>
      <c r="D940" s="292" t="str">
        <f ca="1">IF(ISERROR($S940),"",OFFSET('Smelter Reference List'!$C$4,$S940-4,0)&amp;"")</f>
        <v/>
      </c>
      <c r="E940" s="292" t="str">
        <f ca="1">IF(ISERROR($S940),"",OFFSET('Smelter Reference List'!$D$4,$S940-4,0)&amp;"")</f>
        <v/>
      </c>
      <c r="F940" s="292" t="str">
        <f ca="1">IF(ISERROR($S940),"",OFFSET('Smelter Reference List'!$E$4,$S940-4,0))</f>
        <v/>
      </c>
      <c r="G940" s="292" t="str">
        <f ca="1">IF(C940=$U$4,"Enter smelter details", IF(ISERROR($S940),"",OFFSET('Smelter Reference List'!$F$4,$S940-4,0)))</f>
        <v/>
      </c>
      <c r="H940" s="293" t="str">
        <f ca="1">IF(ISERROR($S940),"",OFFSET('Smelter Reference List'!$G$4,$S940-4,0))</f>
        <v/>
      </c>
      <c r="I940" s="294" t="str">
        <f ca="1">IF(ISERROR($S940),"",OFFSET('Smelter Reference List'!$H$4,$S940-4,0))</f>
        <v/>
      </c>
      <c r="J940" s="294" t="str">
        <f ca="1">IF(ISERROR($S940),"",OFFSET('Smelter Reference List'!$I$4,$S940-4,0))</f>
        <v/>
      </c>
      <c r="K940" s="295"/>
      <c r="L940" s="295"/>
      <c r="M940" s="295"/>
      <c r="N940" s="295"/>
      <c r="O940" s="295"/>
      <c r="P940" s="295"/>
      <c r="Q940" s="296"/>
      <c r="R940" s="227"/>
      <c r="S940" s="228" t="e">
        <f>IF(C940="",NA(),MATCH($B940&amp;$C940,'Smelter Reference List'!$J:$J,0))</f>
        <v>#N/A</v>
      </c>
      <c r="T940" s="229"/>
      <c r="U940" s="229">
        <f t="shared" ca="1" si="30"/>
        <v>0</v>
      </c>
      <c r="V940" s="229"/>
      <c r="W940" s="229"/>
      <c r="Y940" s="223" t="str">
        <f t="shared" si="31"/>
        <v/>
      </c>
    </row>
    <row r="941" spans="1:25" s="223" customFormat="1" ht="20.25">
      <c r="A941" s="291"/>
      <c r="B941" s="292" t="str">
        <f>IF(LEN(A941)=0,"",INDEX('Smelter Reference List'!$A:$A,MATCH($A941,'Smelter Reference List'!$E:$E,0)))</f>
        <v/>
      </c>
      <c r="C941" s="298" t="str">
        <f>IF(LEN(A941)=0,"",INDEX('Smelter Reference List'!$C:$C,MATCH($A941,'Smelter Reference List'!$E:$E,0)))</f>
        <v/>
      </c>
      <c r="D941" s="292" t="str">
        <f ca="1">IF(ISERROR($S941),"",OFFSET('Smelter Reference List'!$C$4,$S941-4,0)&amp;"")</f>
        <v/>
      </c>
      <c r="E941" s="292" t="str">
        <f ca="1">IF(ISERROR($S941),"",OFFSET('Smelter Reference List'!$D$4,$S941-4,0)&amp;"")</f>
        <v/>
      </c>
      <c r="F941" s="292" t="str">
        <f ca="1">IF(ISERROR($S941),"",OFFSET('Smelter Reference List'!$E$4,$S941-4,0))</f>
        <v/>
      </c>
      <c r="G941" s="292" t="str">
        <f ca="1">IF(C941=$U$4,"Enter smelter details", IF(ISERROR($S941),"",OFFSET('Smelter Reference List'!$F$4,$S941-4,0)))</f>
        <v/>
      </c>
      <c r="H941" s="293" t="str">
        <f ca="1">IF(ISERROR($S941),"",OFFSET('Smelter Reference List'!$G$4,$S941-4,0))</f>
        <v/>
      </c>
      <c r="I941" s="294" t="str">
        <f ca="1">IF(ISERROR($S941),"",OFFSET('Smelter Reference List'!$H$4,$S941-4,0))</f>
        <v/>
      </c>
      <c r="J941" s="294" t="str">
        <f ca="1">IF(ISERROR($S941),"",OFFSET('Smelter Reference List'!$I$4,$S941-4,0))</f>
        <v/>
      </c>
      <c r="K941" s="295"/>
      <c r="L941" s="295"/>
      <c r="M941" s="295"/>
      <c r="N941" s="295"/>
      <c r="O941" s="295"/>
      <c r="P941" s="295"/>
      <c r="Q941" s="296"/>
      <c r="R941" s="227"/>
      <c r="S941" s="228" t="e">
        <f>IF(C941="",NA(),MATCH($B941&amp;$C941,'Smelter Reference List'!$J:$J,0))</f>
        <v>#N/A</v>
      </c>
      <c r="T941" s="229"/>
      <c r="U941" s="229">
        <f t="shared" ca="1" si="30"/>
        <v>0</v>
      </c>
      <c r="V941" s="229"/>
      <c r="W941" s="229"/>
      <c r="Y941" s="223" t="str">
        <f t="shared" si="31"/>
        <v/>
      </c>
    </row>
    <row r="942" spans="1:25" s="223" customFormat="1" ht="20.25">
      <c r="A942" s="291"/>
      <c r="B942" s="292" t="str">
        <f>IF(LEN(A942)=0,"",INDEX('Smelter Reference List'!$A:$A,MATCH($A942,'Smelter Reference List'!$E:$E,0)))</f>
        <v/>
      </c>
      <c r="C942" s="298" t="str">
        <f>IF(LEN(A942)=0,"",INDEX('Smelter Reference List'!$C:$C,MATCH($A942,'Smelter Reference List'!$E:$E,0)))</f>
        <v/>
      </c>
      <c r="D942" s="292" t="str">
        <f ca="1">IF(ISERROR($S942),"",OFFSET('Smelter Reference List'!$C$4,$S942-4,0)&amp;"")</f>
        <v/>
      </c>
      <c r="E942" s="292" t="str">
        <f ca="1">IF(ISERROR($S942),"",OFFSET('Smelter Reference List'!$D$4,$S942-4,0)&amp;"")</f>
        <v/>
      </c>
      <c r="F942" s="292" t="str">
        <f ca="1">IF(ISERROR($S942),"",OFFSET('Smelter Reference List'!$E$4,$S942-4,0))</f>
        <v/>
      </c>
      <c r="G942" s="292" t="str">
        <f ca="1">IF(C942=$U$4,"Enter smelter details", IF(ISERROR($S942),"",OFFSET('Smelter Reference List'!$F$4,$S942-4,0)))</f>
        <v/>
      </c>
      <c r="H942" s="293" t="str">
        <f ca="1">IF(ISERROR($S942),"",OFFSET('Smelter Reference List'!$G$4,$S942-4,0))</f>
        <v/>
      </c>
      <c r="I942" s="294" t="str">
        <f ca="1">IF(ISERROR($S942),"",OFFSET('Smelter Reference List'!$H$4,$S942-4,0))</f>
        <v/>
      </c>
      <c r="J942" s="294" t="str">
        <f ca="1">IF(ISERROR($S942),"",OFFSET('Smelter Reference List'!$I$4,$S942-4,0))</f>
        <v/>
      </c>
      <c r="K942" s="295"/>
      <c r="L942" s="295"/>
      <c r="M942" s="295"/>
      <c r="N942" s="295"/>
      <c r="O942" s="295"/>
      <c r="P942" s="295"/>
      <c r="Q942" s="296"/>
      <c r="R942" s="227"/>
      <c r="S942" s="228" t="e">
        <f>IF(C942="",NA(),MATCH($B942&amp;$C942,'Smelter Reference List'!$J:$J,0))</f>
        <v>#N/A</v>
      </c>
      <c r="T942" s="229"/>
      <c r="U942" s="229">
        <f t="shared" ca="1" si="30"/>
        <v>0</v>
      </c>
      <c r="V942" s="229"/>
      <c r="W942" s="229"/>
      <c r="Y942" s="223" t="str">
        <f t="shared" si="31"/>
        <v/>
      </c>
    </row>
    <row r="943" spans="1:25" s="223" customFormat="1" ht="20.25">
      <c r="A943" s="291"/>
      <c r="B943" s="292" t="str">
        <f>IF(LEN(A943)=0,"",INDEX('Smelter Reference List'!$A:$A,MATCH($A943,'Smelter Reference List'!$E:$E,0)))</f>
        <v/>
      </c>
      <c r="C943" s="298" t="str">
        <f>IF(LEN(A943)=0,"",INDEX('Smelter Reference List'!$C:$C,MATCH($A943,'Smelter Reference List'!$E:$E,0)))</f>
        <v/>
      </c>
      <c r="D943" s="292" t="str">
        <f ca="1">IF(ISERROR($S943),"",OFFSET('Smelter Reference List'!$C$4,$S943-4,0)&amp;"")</f>
        <v/>
      </c>
      <c r="E943" s="292" t="str">
        <f ca="1">IF(ISERROR($S943),"",OFFSET('Smelter Reference List'!$D$4,$S943-4,0)&amp;"")</f>
        <v/>
      </c>
      <c r="F943" s="292" t="str">
        <f ca="1">IF(ISERROR($S943),"",OFFSET('Smelter Reference List'!$E$4,$S943-4,0))</f>
        <v/>
      </c>
      <c r="G943" s="292" t="str">
        <f ca="1">IF(C943=$U$4,"Enter smelter details", IF(ISERROR($S943),"",OFFSET('Smelter Reference List'!$F$4,$S943-4,0)))</f>
        <v/>
      </c>
      <c r="H943" s="293" t="str">
        <f ca="1">IF(ISERROR($S943),"",OFFSET('Smelter Reference List'!$G$4,$S943-4,0))</f>
        <v/>
      </c>
      <c r="I943" s="294" t="str">
        <f ca="1">IF(ISERROR($S943),"",OFFSET('Smelter Reference List'!$H$4,$S943-4,0))</f>
        <v/>
      </c>
      <c r="J943" s="294" t="str">
        <f ca="1">IF(ISERROR($S943),"",OFFSET('Smelter Reference List'!$I$4,$S943-4,0))</f>
        <v/>
      </c>
      <c r="K943" s="295"/>
      <c r="L943" s="295"/>
      <c r="M943" s="295"/>
      <c r="N943" s="295"/>
      <c r="O943" s="295"/>
      <c r="P943" s="295"/>
      <c r="Q943" s="296"/>
      <c r="R943" s="227"/>
      <c r="S943" s="228" t="e">
        <f>IF(C943="",NA(),MATCH($B943&amp;$C943,'Smelter Reference List'!$J:$J,0))</f>
        <v>#N/A</v>
      </c>
      <c r="T943" s="229"/>
      <c r="U943" s="229">
        <f t="shared" ca="1" si="30"/>
        <v>0</v>
      </c>
      <c r="V943" s="229"/>
      <c r="W943" s="229"/>
      <c r="Y943" s="223" t="str">
        <f t="shared" si="31"/>
        <v/>
      </c>
    </row>
    <row r="944" spans="1:25" s="223" customFormat="1" ht="20.25">
      <c r="A944" s="291"/>
      <c r="B944" s="292" t="str">
        <f>IF(LEN(A944)=0,"",INDEX('Smelter Reference List'!$A:$A,MATCH($A944,'Smelter Reference List'!$E:$E,0)))</f>
        <v/>
      </c>
      <c r="C944" s="298" t="str">
        <f>IF(LEN(A944)=0,"",INDEX('Smelter Reference List'!$C:$C,MATCH($A944,'Smelter Reference List'!$E:$E,0)))</f>
        <v/>
      </c>
      <c r="D944" s="292" t="str">
        <f ca="1">IF(ISERROR($S944),"",OFFSET('Smelter Reference List'!$C$4,$S944-4,0)&amp;"")</f>
        <v/>
      </c>
      <c r="E944" s="292" t="str">
        <f ca="1">IF(ISERROR($S944),"",OFFSET('Smelter Reference List'!$D$4,$S944-4,0)&amp;"")</f>
        <v/>
      </c>
      <c r="F944" s="292" t="str">
        <f ca="1">IF(ISERROR($S944),"",OFFSET('Smelter Reference List'!$E$4,$S944-4,0))</f>
        <v/>
      </c>
      <c r="G944" s="292" t="str">
        <f ca="1">IF(C944=$U$4,"Enter smelter details", IF(ISERROR($S944),"",OFFSET('Smelter Reference List'!$F$4,$S944-4,0)))</f>
        <v/>
      </c>
      <c r="H944" s="293" t="str">
        <f ca="1">IF(ISERROR($S944),"",OFFSET('Smelter Reference List'!$G$4,$S944-4,0))</f>
        <v/>
      </c>
      <c r="I944" s="294" t="str">
        <f ca="1">IF(ISERROR($S944),"",OFFSET('Smelter Reference List'!$H$4,$S944-4,0))</f>
        <v/>
      </c>
      <c r="J944" s="294" t="str">
        <f ca="1">IF(ISERROR($S944),"",OFFSET('Smelter Reference List'!$I$4,$S944-4,0))</f>
        <v/>
      </c>
      <c r="K944" s="295"/>
      <c r="L944" s="295"/>
      <c r="M944" s="295"/>
      <c r="N944" s="295"/>
      <c r="O944" s="295"/>
      <c r="P944" s="295"/>
      <c r="Q944" s="296"/>
      <c r="R944" s="227"/>
      <c r="S944" s="228" t="e">
        <f>IF(C944="",NA(),MATCH($B944&amp;$C944,'Smelter Reference List'!$J:$J,0))</f>
        <v>#N/A</v>
      </c>
      <c r="T944" s="229"/>
      <c r="U944" s="229">
        <f t="shared" ca="1" si="30"/>
        <v>0</v>
      </c>
      <c r="V944" s="229"/>
      <c r="W944" s="229"/>
      <c r="Y944" s="223" t="str">
        <f t="shared" si="31"/>
        <v/>
      </c>
    </row>
    <row r="945" spans="1:25" s="223" customFormat="1" ht="20.25">
      <c r="A945" s="291"/>
      <c r="B945" s="292" t="str">
        <f>IF(LEN(A945)=0,"",INDEX('Smelter Reference List'!$A:$A,MATCH($A945,'Smelter Reference List'!$E:$E,0)))</f>
        <v/>
      </c>
      <c r="C945" s="298" t="str">
        <f>IF(LEN(A945)=0,"",INDEX('Smelter Reference List'!$C:$C,MATCH($A945,'Smelter Reference List'!$E:$E,0)))</f>
        <v/>
      </c>
      <c r="D945" s="292" t="str">
        <f ca="1">IF(ISERROR($S945),"",OFFSET('Smelter Reference List'!$C$4,$S945-4,0)&amp;"")</f>
        <v/>
      </c>
      <c r="E945" s="292" t="str">
        <f ca="1">IF(ISERROR($S945),"",OFFSET('Smelter Reference List'!$D$4,$S945-4,0)&amp;"")</f>
        <v/>
      </c>
      <c r="F945" s="292" t="str">
        <f ca="1">IF(ISERROR($S945),"",OFFSET('Smelter Reference List'!$E$4,$S945-4,0))</f>
        <v/>
      </c>
      <c r="G945" s="292" t="str">
        <f ca="1">IF(C945=$U$4,"Enter smelter details", IF(ISERROR($S945),"",OFFSET('Smelter Reference List'!$F$4,$S945-4,0)))</f>
        <v/>
      </c>
      <c r="H945" s="293" t="str">
        <f ca="1">IF(ISERROR($S945),"",OFFSET('Smelter Reference List'!$G$4,$S945-4,0))</f>
        <v/>
      </c>
      <c r="I945" s="294" t="str">
        <f ca="1">IF(ISERROR($S945),"",OFFSET('Smelter Reference List'!$H$4,$S945-4,0))</f>
        <v/>
      </c>
      <c r="J945" s="294" t="str">
        <f ca="1">IF(ISERROR($S945),"",OFFSET('Smelter Reference List'!$I$4,$S945-4,0))</f>
        <v/>
      </c>
      <c r="K945" s="295"/>
      <c r="L945" s="295"/>
      <c r="M945" s="295"/>
      <c r="N945" s="295"/>
      <c r="O945" s="295"/>
      <c r="P945" s="295"/>
      <c r="Q945" s="296"/>
      <c r="R945" s="227"/>
      <c r="S945" s="228" t="e">
        <f>IF(C945="",NA(),MATCH($B945&amp;$C945,'Smelter Reference List'!$J:$J,0))</f>
        <v>#N/A</v>
      </c>
      <c r="T945" s="229"/>
      <c r="U945" s="229">
        <f t="shared" ca="1" si="30"/>
        <v>0</v>
      </c>
      <c r="V945" s="229"/>
      <c r="W945" s="229"/>
      <c r="Y945" s="223" t="str">
        <f t="shared" si="31"/>
        <v/>
      </c>
    </row>
    <row r="946" spans="1:25" s="223" customFormat="1" ht="20.25">
      <c r="A946" s="291"/>
      <c r="B946" s="292" t="str">
        <f>IF(LEN(A946)=0,"",INDEX('Smelter Reference List'!$A:$A,MATCH($A946,'Smelter Reference List'!$E:$E,0)))</f>
        <v/>
      </c>
      <c r="C946" s="298" t="str">
        <f>IF(LEN(A946)=0,"",INDEX('Smelter Reference List'!$C:$C,MATCH($A946,'Smelter Reference List'!$E:$E,0)))</f>
        <v/>
      </c>
      <c r="D946" s="292" t="str">
        <f ca="1">IF(ISERROR($S946),"",OFFSET('Smelter Reference List'!$C$4,$S946-4,0)&amp;"")</f>
        <v/>
      </c>
      <c r="E946" s="292" t="str">
        <f ca="1">IF(ISERROR($S946),"",OFFSET('Smelter Reference List'!$D$4,$S946-4,0)&amp;"")</f>
        <v/>
      </c>
      <c r="F946" s="292" t="str">
        <f ca="1">IF(ISERROR($S946),"",OFFSET('Smelter Reference List'!$E$4,$S946-4,0))</f>
        <v/>
      </c>
      <c r="G946" s="292" t="str">
        <f ca="1">IF(C946=$U$4,"Enter smelter details", IF(ISERROR($S946),"",OFFSET('Smelter Reference List'!$F$4,$S946-4,0)))</f>
        <v/>
      </c>
      <c r="H946" s="293" t="str">
        <f ca="1">IF(ISERROR($S946),"",OFFSET('Smelter Reference List'!$G$4,$S946-4,0))</f>
        <v/>
      </c>
      <c r="I946" s="294" t="str">
        <f ca="1">IF(ISERROR($S946),"",OFFSET('Smelter Reference List'!$H$4,$S946-4,0))</f>
        <v/>
      </c>
      <c r="J946" s="294" t="str">
        <f ca="1">IF(ISERROR($S946),"",OFFSET('Smelter Reference List'!$I$4,$S946-4,0))</f>
        <v/>
      </c>
      <c r="K946" s="295"/>
      <c r="L946" s="295"/>
      <c r="M946" s="295"/>
      <c r="N946" s="295"/>
      <c r="O946" s="295"/>
      <c r="P946" s="295"/>
      <c r="Q946" s="296"/>
      <c r="R946" s="227"/>
      <c r="S946" s="228" t="e">
        <f>IF(C946="",NA(),MATCH($B946&amp;$C946,'Smelter Reference List'!$J:$J,0))</f>
        <v>#N/A</v>
      </c>
      <c r="T946" s="229"/>
      <c r="U946" s="229">
        <f t="shared" ca="1" si="30"/>
        <v>0</v>
      </c>
      <c r="V946" s="229"/>
      <c r="W946" s="229"/>
      <c r="Y946" s="223" t="str">
        <f t="shared" si="31"/>
        <v/>
      </c>
    </row>
    <row r="947" spans="1:25" s="223" customFormat="1" ht="20.25">
      <c r="A947" s="291"/>
      <c r="B947" s="292" t="str">
        <f>IF(LEN(A947)=0,"",INDEX('Smelter Reference List'!$A:$A,MATCH($A947,'Smelter Reference List'!$E:$E,0)))</f>
        <v/>
      </c>
      <c r="C947" s="298" t="str">
        <f>IF(LEN(A947)=0,"",INDEX('Smelter Reference List'!$C:$C,MATCH($A947,'Smelter Reference List'!$E:$E,0)))</f>
        <v/>
      </c>
      <c r="D947" s="292" t="str">
        <f ca="1">IF(ISERROR($S947),"",OFFSET('Smelter Reference List'!$C$4,$S947-4,0)&amp;"")</f>
        <v/>
      </c>
      <c r="E947" s="292" t="str">
        <f ca="1">IF(ISERROR($S947),"",OFFSET('Smelter Reference List'!$D$4,$S947-4,0)&amp;"")</f>
        <v/>
      </c>
      <c r="F947" s="292" t="str">
        <f ca="1">IF(ISERROR($S947),"",OFFSET('Smelter Reference List'!$E$4,$S947-4,0))</f>
        <v/>
      </c>
      <c r="G947" s="292" t="str">
        <f ca="1">IF(C947=$U$4,"Enter smelter details", IF(ISERROR($S947),"",OFFSET('Smelter Reference List'!$F$4,$S947-4,0)))</f>
        <v/>
      </c>
      <c r="H947" s="293" t="str">
        <f ca="1">IF(ISERROR($S947),"",OFFSET('Smelter Reference List'!$G$4,$S947-4,0))</f>
        <v/>
      </c>
      <c r="I947" s="294" t="str">
        <f ca="1">IF(ISERROR($S947),"",OFFSET('Smelter Reference List'!$H$4,$S947-4,0))</f>
        <v/>
      </c>
      <c r="J947" s="294" t="str">
        <f ca="1">IF(ISERROR($S947),"",OFFSET('Smelter Reference List'!$I$4,$S947-4,0))</f>
        <v/>
      </c>
      <c r="K947" s="295"/>
      <c r="L947" s="295"/>
      <c r="M947" s="295"/>
      <c r="N947" s="295"/>
      <c r="O947" s="295"/>
      <c r="P947" s="295"/>
      <c r="Q947" s="296"/>
      <c r="R947" s="227"/>
      <c r="S947" s="228" t="e">
        <f>IF(C947="",NA(),MATCH($B947&amp;$C947,'Smelter Reference List'!$J:$J,0))</f>
        <v>#N/A</v>
      </c>
      <c r="T947" s="229"/>
      <c r="U947" s="229">
        <f t="shared" ca="1" si="30"/>
        <v>0</v>
      </c>
      <c r="V947" s="229"/>
      <c r="W947" s="229"/>
      <c r="Y947" s="223" t="str">
        <f t="shared" si="31"/>
        <v/>
      </c>
    </row>
    <row r="948" spans="1:25" s="223" customFormat="1" ht="20.25">
      <c r="A948" s="291"/>
      <c r="B948" s="292" t="str">
        <f>IF(LEN(A948)=0,"",INDEX('Smelter Reference List'!$A:$A,MATCH($A948,'Smelter Reference List'!$E:$E,0)))</f>
        <v/>
      </c>
      <c r="C948" s="298" t="str">
        <f>IF(LEN(A948)=0,"",INDEX('Smelter Reference List'!$C:$C,MATCH($A948,'Smelter Reference List'!$E:$E,0)))</f>
        <v/>
      </c>
      <c r="D948" s="292" t="str">
        <f ca="1">IF(ISERROR($S948),"",OFFSET('Smelter Reference List'!$C$4,$S948-4,0)&amp;"")</f>
        <v/>
      </c>
      <c r="E948" s="292" t="str">
        <f ca="1">IF(ISERROR($S948),"",OFFSET('Smelter Reference List'!$D$4,$S948-4,0)&amp;"")</f>
        <v/>
      </c>
      <c r="F948" s="292" t="str">
        <f ca="1">IF(ISERROR($S948),"",OFFSET('Smelter Reference List'!$E$4,$S948-4,0))</f>
        <v/>
      </c>
      <c r="G948" s="292" t="str">
        <f ca="1">IF(C948=$U$4,"Enter smelter details", IF(ISERROR($S948),"",OFFSET('Smelter Reference List'!$F$4,$S948-4,0)))</f>
        <v/>
      </c>
      <c r="H948" s="293" t="str">
        <f ca="1">IF(ISERROR($S948),"",OFFSET('Smelter Reference List'!$G$4,$S948-4,0))</f>
        <v/>
      </c>
      <c r="I948" s="294" t="str">
        <f ca="1">IF(ISERROR($S948),"",OFFSET('Smelter Reference List'!$H$4,$S948-4,0))</f>
        <v/>
      </c>
      <c r="J948" s="294" t="str">
        <f ca="1">IF(ISERROR($S948),"",OFFSET('Smelter Reference List'!$I$4,$S948-4,0))</f>
        <v/>
      </c>
      <c r="K948" s="295"/>
      <c r="L948" s="295"/>
      <c r="M948" s="295"/>
      <c r="N948" s="295"/>
      <c r="O948" s="295"/>
      <c r="P948" s="295"/>
      <c r="Q948" s="296"/>
      <c r="R948" s="227"/>
      <c r="S948" s="228" t="e">
        <f>IF(C948="",NA(),MATCH($B948&amp;$C948,'Smelter Reference List'!$J:$J,0))</f>
        <v>#N/A</v>
      </c>
      <c r="T948" s="229"/>
      <c r="U948" s="229">
        <f t="shared" ca="1" si="30"/>
        <v>0</v>
      </c>
      <c r="V948" s="229"/>
      <c r="W948" s="229"/>
      <c r="Y948" s="223" t="str">
        <f t="shared" si="31"/>
        <v/>
      </c>
    </row>
    <row r="949" spans="1:25" s="223" customFormat="1" ht="20.25">
      <c r="A949" s="291"/>
      <c r="B949" s="292" t="str">
        <f>IF(LEN(A949)=0,"",INDEX('Smelter Reference List'!$A:$A,MATCH($A949,'Smelter Reference List'!$E:$E,0)))</f>
        <v/>
      </c>
      <c r="C949" s="298" t="str">
        <f>IF(LEN(A949)=0,"",INDEX('Smelter Reference List'!$C:$C,MATCH($A949,'Smelter Reference List'!$E:$E,0)))</f>
        <v/>
      </c>
      <c r="D949" s="292" t="str">
        <f ca="1">IF(ISERROR($S949),"",OFFSET('Smelter Reference List'!$C$4,$S949-4,0)&amp;"")</f>
        <v/>
      </c>
      <c r="E949" s="292" t="str">
        <f ca="1">IF(ISERROR($S949),"",OFFSET('Smelter Reference List'!$D$4,$S949-4,0)&amp;"")</f>
        <v/>
      </c>
      <c r="F949" s="292" t="str">
        <f ca="1">IF(ISERROR($S949),"",OFFSET('Smelter Reference List'!$E$4,$S949-4,0))</f>
        <v/>
      </c>
      <c r="G949" s="292" t="str">
        <f ca="1">IF(C949=$U$4,"Enter smelter details", IF(ISERROR($S949),"",OFFSET('Smelter Reference List'!$F$4,$S949-4,0)))</f>
        <v/>
      </c>
      <c r="H949" s="293" t="str">
        <f ca="1">IF(ISERROR($S949),"",OFFSET('Smelter Reference List'!$G$4,$S949-4,0))</f>
        <v/>
      </c>
      <c r="I949" s="294" t="str">
        <f ca="1">IF(ISERROR($S949),"",OFFSET('Smelter Reference List'!$H$4,$S949-4,0))</f>
        <v/>
      </c>
      <c r="J949" s="294" t="str">
        <f ca="1">IF(ISERROR($S949),"",OFFSET('Smelter Reference List'!$I$4,$S949-4,0))</f>
        <v/>
      </c>
      <c r="K949" s="295"/>
      <c r="L949" s="295"/>
      <c r="M949" s="295"/>
      <c r="N949" s="295"/>
      <c r="O949" s="295"/>
      <c r="P949" s="295"/>
      <c r="Q949" s="296"/>
      <c r="R949" s="227"/>
      <c r="S949" s="228" t="e">
        <f>IF(C949="",NA(),MATCH($B949&amp;$C949,'Smelter Reference List'!$J:$J,0))</f>
        <v>#N/A</v>
      </c>
      <c r="T949" s="229"/>
      <c r="U949" s="229">
        <f t="shared" ca="1" si="30"/>
        <v>0</v>
      </c>
      <c r="V949" s="229"/>
      <c r="W949" s="229"/>
      <c r="Y949" s="223" t="str">
        <f t="shared" si="31"/>
        <v/>
      </c>
    </row>
    <row r="950" spans="1:25" s="223" customFormat="1" ht="20.25">
      <c r="A950" s="291"/>
      <c r="B950" s="292" t="str">
        <f>IF(LEN(A950)=0,"",INDEX('Smelter Reference List'!$A:$A,MATCH($A950,'Smelter Reference List'!$E:$E,0)))</f>
        <v/>
      </c>
      <c r="C950" s="298" t="str">
        <f>IF(LEN(A950)=0,"",INDEX('Smelter Reference List'!$C:$C,MATCH($A950,'Smelter Reference List'!$E:$E,0)))</f>
        <v/>
      </c>
      <c r="D950" s="292" t="str">
        <f ca="1">IF(ISERROR($S950),"",OFFSET('Smelter Reference List'!$C$4,$S950-4,0)&amp;"")</f>
        <v/>
      </c>
      <c r="E950" s="292" t="str">
        <f ca="1">IF(ISERROR($S950),"",OFFSET('Smelter Reference List'!$D$4,$S950-4,0)&amp;"")</f>
        <v/>
      </c>
      <c r="F950" s="292" t="str">
        <f ca="1">IF(ISERROR($S950),"",OFFSET('Smelter Reference List'!$E$4,$S950-4,0))</f>
        <v/>
      </c>
      <c r="G950" s="292" t="str">
        <f ca="1">IF(C950=$U$4,"Enter smelter details", IF(ISERROR($S950),"",OFFSET('Smelter Reference List'!$F$4,$S950-4,0)))</f>
        <v/>
      </c>
      <c r="H950" s="293" t="str">
        <f ca="1">IF(ISERROR($S950),"",OFFSET('Smelter Reference List'!$G$4,$S950-4,0))</f>
        <v/>
      </c>
      <c r="I950" s="294" t="str">
        <f ca="1">IF(ISERROR($S950),"",OFFSET('Smelter Reference List'!$H$4,$S950-4,0))</f>
        <v/>
      </c>
      <c r="J950" s="294" t="str">
        <f ca="1">IF(ISERROR($S950),"",OFFSET('Smelter Reference List'!$I$4,$S950-4,0))</f>
        <v/>
      </c>
      <c r="K950" s="295"/>
      <c r="L950" s="295"/>
      <c r="M950" s="295"/>
      <c r="N950" s="295"/>
      <c r="O950" s="295"/>
      <c r="P950" s="295"/>
      <c r="Q950" s="296"/>
      <c r="R950" s="227"/>
      <c r="S950" s="228" t="e">
        <f>IF(C950="",NA(),MATCH($B950&amp;$C950,'Smelter Reference List'!$J:$J,0))</f>
        <v>#N/A</v>
      </c>
      <c r="T950" s="229"/>
      <c r="U950" s="229">
        <f t="shared" ca="1" si="30"/>
        <v>0</v>
      </c>
      <c r="V950" s="229"/>
      <c r="W950" s="229"/>
      <c r="Y950" s="223" t="str">
        <f t="shared" si="31"/>
        <v/>
      </c>
    </row>
    <row r="951" spans="1:25" s="223" customFormat="1" ht="20.25">
      <c r="A951" s="291"/>
      <c r="B951" s="292" t="str">
        <f>IF(LEN(A951)=0,"",INDEX('Smelter Reference List'!$A:$A,MATCH($A951,'Smelter Reference List'!$E:$E,0)))</f>
        <v/>
      </c>
      <c r="C951" s="298" t="str">
        <f>IF(LEN(A951)=0,"",INDEX('Smelter Reference List'!$C:$C,MATCH($A951,'Smelter Reference List'!$E:$E,0)))</f>
        <v/>
      </c>
      <c r="D951" s="292" t="str">
        <f ca="1">IF(ISERROR($S951),"",OFFSET('Smelter Reference List'!$C$4,$S951-4,0)&amp;"")</f>
        <v/>
      </c>
      <c r="E951" s="292" t="str">
        <f ca="1">IF(ISERROR($S951),"",OFFSET('Smelter Reference List'!$D$4,$S951-4,0)&amp;"")</f>
        <v/>
      </c>
      <c r="F951" s="292" t="str">
        <f ca="1">IF(ISERROR($S951),"",OFFSET('Smelter Reference List'!$E$4,$S951-4,0))</f>
        <v/>
      </c>
      <c r="G951" s="292" t="str">
        <f ca="1">IF(C951=$U$4,"Enter smelter details", IF(ISERROR($S951),"",OFFSET('Smelter Reference List'!$F$4,$S951-4,0)))</f>
        <v/>
      </c>
      <c r="H951" s="293" t="str">
        <f ca="1">IF(ISERROR($S951),"",OFFSET('Smelter Reference List'!$G$4,$S951-4,0))</f>
        <v/>
      </c>
      <c r="I951" s="294" t="str">
        <f ca="1">IF(ISERROR($S951),"",OFFSET('Smelter Reference List'!$H$4,$S951-4,0))</f>
        <v/>
      </c>
      <c r="J951" s="294" t="str">
        <f ca="1">IF(ISERROR($S951),"",OFFSET('Smelter Reference List'!$I$4,$S951-4,0))</f>
        <v/>
      </c>
      <c r="K951" s="295"/>
      <c r="L951" s="295"/>
      <c r="M951" s="295"/>
      <c r="N951" s="295"/>
      <c r="O951" s="295"/>
      <c r="P951" s="295"/>
      <c r="Q951" s="296"/>
      <c r="R951" s="227"/>
      <c r="S951" s="228" t="e">
        <f>IF(C951="",NA(),MATCH($B951&amp;$C951,'Smelter Reference List'!$J:$J,0))</f>
        <v>#N/A</v>
      </c>
      <c r="T951" s="229"/>
      <c r="U951" s="229">
        <f t="shared" ca="1" si="30"/>
        <v>0</v>
      </c>
      <c r="V951" s="229"/>
      <c r="W951" s="229"/>
      <c r="Y951" s="223" t="str">
        <f t="shared" si="31"/>
        <v/>
      </c>
    </row>
    <row r="952" spans="1:25" s="223" customFormat="1" ht="20.25">
      <c r="A952" s="291"/>
      <c r="B952" s="292" t="str">
        <f>IF(LEN(A952)=0,"",INDEX('Smelter Reference List'!$A:$A,MATCH($A952,'Smelter Reference List'!$E:$E,0)))</f>
        <v/>
      </c>
      <c r="C952" s="298" t="str">
        <f>IF(LEN(A952)=0,"",INDEX('Smelter Reference List'!$C:$C,MATCH($A952,'Smelter Reference List'!$E:$E,0)))</f>
        <v/>
      </c>
      <c r="D952" s="292" t="str">
        <f ca="1">IF(ISERROR($S952),"",OFFSET('Smelter Reference List'!$C$4,$S952-4,0)&amp;"")</f>
        <v/>
      </c>
      <c r="E952" s="292" t="str">
        <f ca="1">IF(ISERROR($S952),"",OFFSET('Smelter Reference List'!$D$4,$S952-4,0)&amp;"")</f>
        <v/>
      </c>
      <c r="F952" s="292" t="str">
        <f ca="1">IF(ISERROR($S952),"",OFFSET('Smelter Reference List'!$E$4,$S952-4,0))</f>
        <v/>
      </c>
      <c r="G952" s="292" t="str">
        <f ca="1">IF(C952=$U$4,"Enter smelter details", IF(ISERROR($S952),"",OFFSET('Smelter Reference List'!$F$4,$S952-4,0)))</f>
        <v/>
      </c>
      <c r="H952" s="293" t="str">
        <f ca="1">IF(ISERROR($S952),"",OFFSET('Smelter Reference List'!$G$4,$S952-4,0))</f>
        <v/>
      </c>
      <c r="I952" s="294" t="str">
        <f ca="1">IF(ISERROR($S952),"",OFFSET('Smelter Reference List'!$H$4,$S952-4,0))</f>
        <v/>
      </c>
      <c r="J952" s="294" t="str">
        <f ca="1">IF(ISERROR($S952),"",OFFSET('Smelter Reference List'!$I$4,$S952-4,0))</f>
        <v/>
      </c>
      <c r="K952" s="295"/>
      <c r="L952" s="295"/>
      <c r="M952" s="295"/>
      <c r="N952" s="295"/>
      <c r="O952" s="295"/>
      <c r="P952" s="295"/>
      <c r="Q952" s="296"/>
      <c r="R952" s="227"/>
      <c r="S952" s="228" t="e">
        <f>IF(C952="",NA(),MATCH($B952&amp;$C952,'Smelter Reference List'!$J:$J,0))</f>
        <v>#N/A</v>
      </c>
      <c r="T952" s="229"/>
      <c r="U952" s="229">
        <f t="shared" ca="1" si="30"/>
        <v>0</v>
      </c>
      <c r="V952" s="229"/>
      <c r="W952" s="229"/>
      <c r="Y952" s="223" t="str">
        <f t="shared" si="31"/>
        <v/>
      </c>
    </row>
    <row r="953" spans="1:25" s="223" customFormat="1" ht="20.25">
      <c r="A953" s="291"/>
      <c r="B953" s="292" t="str">
        <f>IF(LEN(A953)=0,"",INDEX('Smelter Reference List'!$A:$A,MATCH($A953,'Smelter Reference List'!$E:$E,0)))</f>
        <v/>
      </c>
      <c r="C953" s="298" t="str">
        <f>IF(LEN(A953)=0,"",INDEX('Smelter Reference List'!$C:$C,MATCH($A953,'Smelter Reference List'!$E:$E,0)))</f>
        <v/>
      </c>
      <c r="D953" s="292" t="str">
        <f ca="1">IF(ISERROR($S953),"",OFFSET('Smelter Reference List'!$C$4,$S953-4,0)&amp;"")</f>
        <v/>
      </c>
      <c r="E953" s="292" t="str">
        <f ca="1">IF(ISERROR($S953),"",OFFSET('Smelter Reference List'!$D$4,$S953-4,0)&amp;"")</f>
        <v/>
      </c>
      <c r="F953" s="292" t="str">
        <f ca="1">IF(ISERROR($S953),"",OFFSET('Smelter Reference List'!$E$4,$S953-4,0))</f>
        <v/>
      </c>
      <c r="G953" s="292" t="str">
        <f ca="1">IF(C953=$U$4,"Enter smelter details", IF(ISERROR($S953),"",OFFSET('Smelter Reference List'!$F$4,$S953-4,0)))</f>
        <v/>
      </c>
      <c r="H953" s="293" t="str">
        <f ca="1">IF(ISERROR($S953),"",OFFSET('Smelter Reference List'!$G$4,$S953-4,0))</f>
        <v/>
      </c>
      <c r="I953" s="294" t="str">
        <f ca="1">IF(ISERROR($S953),"",OFFSET('Smelter Reference List'!$H$4,$S953-4,0))</f>
        <v/>
      </c>
      <c r="J953" s="294" t="str">
        <f ca="1">IF(ISERROR($S953),"",OFFSET('Smelter Reference List'!$I$4,$S953-4,0))</f>
        <v/>
      </c>
      <c r="K953" s="295"/>
      <c r="L953" s="295"/>
      <c r="M953" s="295"/>
      <c r="N953" s="295"/>
      <c r="O953" s="295"/>
      <c r="P953" s="295"/>
      <c r="Q953" s="296"/>
      <c r="R953" s="227"/>
      <c r="S953" s="228" t="e">
        <f>IF(C953="",NA(),MATCH($B953&amp;$C953,'Smelter Reference List'!$J:$J,0))</f>
        <v>#N/A</v>
      </c>
      <c r="T953" s="229"/>
      <c r="U953" s="229">
        <f t="shared" ca="1" si="30"/>
        <v>0</v>
      </c>
      <c r="V953" s="229"/>
      <c r="W953" s="229"/>
      <c r="Y953" s="223" t="str">
        <f t="shared" si="31"/>
        <v/>
      </c>
    </row>
    <row r="954" spans="1:25" s="223" customFormat="1" ht="20.25">
      <c r="A954" s="291"/>
      <c r="B954" s="292" t="str">
        <f>IF(LEN(A954)=0,"",INDEX('Smelter Reference List'!$A:$A,MATCH($A954,'Smelter Reference List'!$E:$E,0)))</f>
        <v/>
      </c>
      <c r="C954" s="298" t="str">
        <f>IF(LEN(A954)=0,"",INDEX('Smelter Reference List'!$C:$C,MATCH($A954,'Smelter Reference List'!$E:$E,0)))</f>
        <v/>
      </c>
      <c r="D954" s="292" t="str">
        <f ca="1">IF(ISERROR($S954),"",OFFSET('Smelter Reference List'!$C$4,$S954-4,0)&amp;"")</f>
        <v/>
      </c>
      <c r="E954" s="292" t="str">
        <f ca="1">IF(ISERROR($S954),"",OFFSET('Smelter Reference List'!$D$4,$S954-4,0)&amp;"")</f>
        <v/>
      </c>
      <c r="F954" s="292" t="str">
        <f ca="1">IF(ISERROR($S954),"",OFFSET('Smelter Reference List'!$E$4,$S954-4,0))</f>
        <v/>
      </c>
      <c r="G954" s="292" t="str">
        <f ca="1">IF(C954=$U$4,"Enter smelter details", IF(ISERROR($S954),"",OFFSET('Smelter Reference List'!$F$4,$S954-4,0)))</f>
        <v/>
      </c>
      <c r="H954" s="293" t="str">
        <f ca="1">IF(ISERROR($S954),"",OFFSET('Smelter Reference List'!$G$4,$S954-4,0))</f>
        <v/>
      </c>
      <c r="I954" s="294" t="str">
        <f ca="1">IF(ISERROR($S954),"",OFFSET('Smelter Reference List'!$H$4,$S954-4,0))</f>
        <v/>
      </c>
      <c r="J954" s="294" t="str">
        <f ca="1">IF(ISERROR($S954),"",OFFSET('Smelter Reference List'!$I$4,$S954-4,0))</f>
        <v/>
      </c>
      <c r="K954" s="295"/>
      <c r="L954" s="295"/>
      <c r="M954" s="295"/>
      <c r="N954" s="295"/>
      <c r="O954" s="295"/>
      <c r="P954" s="295"/>
      <c r="Q954" s="296"/>
      <c r="R954" s="227"/>
      <c r="S954" s="228" t="e">
        <f>IF(C954="",NA(),MATCH($B954&amp;$C954,'Smelter Reference List'!$J:$J,0))</f>
        <v>#N/A</v>
      </c>
      <c r="T954" s="229"/>
      <c r="U954" s="229">
        <f t="shared" ca="1" si="30"/>
        <v>0</v>
      </c>
      <c r="V954" s="229"/>
      <c r="W954" s="229"/>
      <c r="Y954" s="223" t="str">
        <f t="shared" si="31"/>
        <v/>
      </c>
    </row>
    <row r="955" spans="1:25" s="223" customFormat="1" ht="20.25">
      <c r="A955" s="291"/>
      <c r="B955" s="292" t="str">
        <f>IF(LEN(A955)=0,"",INDEX('Smelter Reference List'!$A:$A,MATCH($A955,'Smelter Reference List'!$E:$E,0)))</f>
        <v/>
      </c>
      <c r="C955" s="298" t="str">
        <f>IF(LEN(A955)=0,"",INDEX('Smelter Reference List'!$C:$C,MATCH($A955,'Smelter Reference List'!$E:$E,0)))</f>
        <v/>
      </c>
      <c r="D955" s="292" t="str">
        <f ca="1">IF(ISERROR($S955),"",OFFSET('Smelter Reference List'!$C$4,$S955-4,0)&amp;"")</f>
        <v/>
      </c>
      <c r="E955" s="292" t="str">
        <f ca="1">IF(ISERROR($S955),"",OFFSET('Smelter Reference List'!$D$4,$S955-4,0)&amp;"")</f>
        <v/>
      </c>
      <c r="F955" s="292" t="str">
        <f ca="1">IF(ISERROR($S955),"",OFFSET('Smelter Reference List'!$E$4,$S955-4,0))</f>
        <v/>
      </c>
      <c r="G955" s="292" t="str">
        <f ca="1">IF(C955=$U$4,"Enter smelter details", IF(ISERROR($S955),"",OFFSET('Smelter Reference List'!$F$4,$S955-4,0)))</f>
        <v/>
      </c>
      <c r="H955" s="293" t="str">
        <f ca="1">IF(ISERROR($S955),"",OFFSET('Smelter Reference List'!$G$4,$S955-4,0))</f>
        <v/>
      </c>
      <c r="I955" s="294" t="str">
        <f ca="1">IF(ISERROR($S955),"",OFFSET('Smelter Reference List'!$H$4,$S955-4,0))</f>
        <v/>
      </c>
      <c r="J955" s="294" t="str">
        <f ca="1">IF(ISERROR($S955),"",OFFSET('Smelter Reference List'!$I$4,$S955-4,0))</f>
        <v/>
      </c>
      <c r="K955" s="295"/>
      <c r="L955" s="295"/>
      <c r="M955" s="295"/>
      <c r="N955" s="295"/>
      <c r="O955" s="295"/>
      <c r="P955" s="295"/>
      <c r="Q955" s="296"/>
      <c r="R955" s="227"/>
      <c r="S955" s="228" t="e">
        <f>IF(C955="",NA(),MATCH($B955&amp;$C955,'Smelter Reference List'!$J:$J,0))</f>
        <v>#N/A</v>
      </c>
      <c r="T955" s="229"/>
      <c r="U955" s="229">
        <f t="shared" ca="1" si="30"/>
        <v>0</v>
      </c>
      <c r="V955" s="229"/>
      <c r="W955" s="229"/>
      <c r="Y955" s="223" t="str">
        <f t="shared" si="31"/>
        <v/>
      </c>
    </row>
    <row r="956" spans="1:25" s="223" customFormat="1" ht="20.25">
      <c r="A956" s="291"/>
      <c r="B956" s="292" t="str">
        <f>IF(LEN(A956)=0,"",INDEX('Smelter Reference List'!$A:$A,MATCH($A956,'Smelter Reference List'!$E:$E,0)))</f>
        <v/>
      </c>
      <c r="C956" s="298" t="str">
        <f>IF(LEN(A956)=0,"",INDEX('Smelter Reference List'!$C:$C,MATCH($A956,'Smelter Reference List'!$E:$E,0)))</f>
        <v/>
      </c>
      <c r="D956" s="292" t="str">
        <f ca="1">IF(ISERROR($S956),"",OFFSET('Smelter Reference List'!$C$4,$S956-4,0)&amp;"")</f>
        <v/>
      </c>
      <c r="E956" s="292" t="str">
        <f ca="1">IF(ISERROR($S956),"",OFFSET('Smelter Reference List'!$D$4,$S956-4,0)&amp;"")</f>
        <v/>
      </c>
      <c r="F956" s="292" t="str">
        <f ca="1">IF(ISERROR($S956),"",OFFSET('Smelter Reference List'!$E$4,$S956-4,0))</f>
        <v/>
      </c>
      <c r="G956" s="292" t="str">
        <f ca="1">IF(C956=$U$4,"Enter smelter details", IF(ISERROR($S956),"",OFFSET('Smelter Reference List'!$F$4,$S956-4,0)))</f>
        <v/>
      </c>
      <c r="H956" s="293" t="str">
        <f ca="1">IF(ISERROR($S956),"",OFFSET('Smelter Reference List'!$G$4,$S956-4,0))</f>
        <v/>
      </c>
      <c r="I956" s="294" t="str">
        <f ca="1">IF(ISERROR($S956),"",OFFSET('Smelter Reference List'!$H$4,$S956-4,0))</f>
        <v/>
      </c>
      <c r="J956" s="294" t="str">
        <f ca="1">IF(ISERROR($S956),"",OFFSET('Smelter Reference List'!$I$4,$S956-4,0))</f>
        <v/>
      </c>
      <c r="K956" s="295"/>
      <c r="L956" s="295"/>
      <c r="M956" s="295"/>
      <c r="N956" s="295"/>
      <c r="O956" s="295"/>
      <c r="P956" s="295"/>
      <c r="Q956" s="296"/>
      <c r="R956" s="227"/>
      <c r="S956" s="228" t="e">
        <f>IF(C956="",NA(),MATCH($B956&amp;$C956,'Smelter Reference List'!$J:$J,0))</f>
        <v>#N/A</v>
      </c>
      <c r="T956" s="229"/>
      <c r="U956" s="229">
        <f t="shared" ca="1" si="30"/>
        <v>0</v>
      </c>
      <c r="V956" s="229"/>
      <c r="W956" s="229"/>
      <c r="Y956" s="223" t="str">
        <f t="shared" si="31"/>
        <v/>
      </c>
    </row>
    <row r="957" spans="1:25" s="223" customFormat="1" ht="20.25">
      <c r="A957" s="291"/>
      <c r="B957" s="292" t="str">
        <f>IF(LEN(A957)=0,"",INDEX('Smelter Reference List'!$A:$A,MATCH($A957,'Smelter Reference List'!$E:$E,0)))</f>
        <v/>
      </c>
      <c r="C957" s="298" t="str">
        <f>IF(LEN(A957)=0,"",INDEX('Smelter Reference List'!$C:$C,MATCH($A957,'Smelter Reference List'!$E:$E,0)))</f>
        <v/>
      </c>
      <c r="D957" s="292" t="str">
        <f ca="1">IF(ISERROR($S957),"",OFFSET('Smelter Reference List'!$C$4,$S957-4,0)&amp;"")</f>
        <v/>
      </c>
      <c r="E957" s="292" t="str">
        <f ca="1">IF(ISERROR($S957),"",OFFSET('Smelter Reference List'!$D$4,$S957-4,0)&amp;"")</f>
        <v/>
      </c>
      <c r="F957" s="292" t="str">
        <f ca="1">IF(ISERROR($S957),"",OFFSET('Smelter Reference List'!$E$4,$S957-4,0))</f>
        <v/>
      </c>
      <c r="G957" s="292" t="str">
        <f ca="1">IF(C957=$U$4,"Enter smelter details", IF(ISERROR($S957),"",OFFSET('Smelter Reference List'!$F$4,$S957-4,0)))</f>
        <v/>
      </c>
      <c r="H957" s="293" t="str">
        <f ca="1">IF(ISERROR($S957),"",OFFSET('Smelter Reference List'!$G$4,$S957-4,0))</f>
        <v/>
      </c>
      <c r="I957" s="294" t="str">
        <f ca="1">IF(ISERROR($S957),"",OFFSET('Smelter Reference List'!$H$4,$S957-4,0))</f>
        <v/>
      </c>
      <c r="J957" s="294" t="str">
        <f ca="1">IF(ISERROR($S957),"",OFFSET('Smelter Reference List'!$I$4,$S957-4,0))</f>
        <v/>
      </c>
      <c r="K957" s="295"/>
      <c r="L957" s="295"/>
      <c r="M957" s="295"/>
      <c r="N957" s="295"/>
      <c r="O957" s="295"/>
      <c r="P957" s="295"/>
      <c r="Q957" s="296"/>
      <c r="R957" s="227"/>
      <c r="S957" s="228" t="e">
        <f>IF(C957="",NA(),MATCH($B957&amp;$C957,'Smelter Reference List'!$J:$J,0))</f>
        <v>#N/A</v>
      </c>
      <c r="T957" s="229"/>
      <c r="U957" s="229">
        <f t="shared" ca="1" si="30"/>
        <v>0</v>
      </c>
      <c r="V957" s="229"/>
      <c r="W957" s="229"/>
      <c r="Y957" s="223" t="str">
        <f t="shared" si="31"/>
        <v/>
      </c>
    </row>
    <row r="958" spans="1:25" s="223" customFormat="1" ht="20.25">
      <c r="A958" s="291"/>
      <c r="B958" s="292" t="str">
        <f>IF(LEN(A958)=0,"",INDEX('Smelter Reference List'!$A:$A,MATCH($A958,'Smelter Reference List'!$E:$E,0)))</f>
        <v/>
      </c>
      <c r="C958" s="298" t="str">
        <f>IF(LEN(A958)=0,"",INDEX('Smelter Reference List'!$C:$C,MATCH($A958,'Smelter Reference List'!$E:$E,0)))</f>
        <v/>
      </c>
      <c r="D958" s="292" t="str">
        <f ca="1">IF(ISERROR($S958),"",OFFSET('Smelter Reference List'!$C$4,$S958-4,0)&amp;"")</f>
        <v/>
      </c>
      <c r="E958" s="292" t="str">
        <f ca="1">IF(ISERROR($S958),"",OFFSET('Smelter Reference List'!$D$4,$S958-4,0)&amp;"")</f>
        <v/>
      </c>
      <c r="F958" s="292" t="str">
        <f ca="1">IF(ISERROR($S958),"",OFFSET('Smelter Reference List'!$E$4,$S958-4,0))</f>
        <v/>
      </c>
      <c r="G958" s="292" t="str">
        <f ca="1">IF(C958=$U$4,"Enter smelter details", IF(ISERROR($S958),"",OFFSET('Smelter Reference List'!$F$4,$S958-4,0)))</f>
        <v/>
      </c>
      <c r="H958" s="293" t="str">
        <f ca="1">IF(ISERROR($S958),"",OFFSET('Smelter Reference List'!$G$4,$S958-4,0))</f>
        <v/>
      </c>
      <c r="I958" s="294" t="str">
        <f ca="1">IF(ISERROR($S958),"",OFFSET('Smelter Reference List'!$H$4,$S958-4,0))</f>
        <v/>
      </c>
      <c r="J958" s="294" t="str">
        <f ca="1">IF(ISERROR($S958),"",OFFSET('Smelter Reference List'!$I$4,$S958-4,0))</f>
        <v/>
      </c>
      <c r="K958" s="295"/>
      <c r="L958" s="295"/>
      <c r="M958" s="295"/>
      <c r="N958" s="295"/>
      <c r="O958" s="295"/>
      <c r="P958" s="295"/>
      <c r="Q958" s="296"/>
      <c r="R958" s="227"/>
      <c r="S958" s="228" t="e">
        <f>IF(C958="",NA(),MATCH($B958&amp;$C958,'Smelter Reference List'!$J:$J,0))</f>
        <v>#N/A</v>
      </c>
      <c r="T958" s="229"/>
      <c r="U958" s="229">
        <f t="shared" ca="1" si="30"/>
        <v>0</v>
      </c>
      <c r="V958" s="229"/>
      <c r="W958" s="229"/>
      <c r="Y958" s="223" t="str">
        <f t="shared" si="31"/>
        <v/>
      </c>
    </row>
    <row r="959" spans="1:25" s="223" customFormat="1" ht="20.25">
      <c r="A959" s="291"/>
      <c r="B959" s="292" t="str">
        <f>IF(LEN(A959)=0,"",INDEX('Smelter Reference List'!$A:$A,MATCH($A959,'Smelter Reference List'!$E:$E,0)))</f>
        <v/>
      </c>
      <c r="C959" s="298" t="str">
        <f>IF(LEN(A959)=0,"",INDEX('Smelter Reference List'!$C:$C,MATCH($A959,'Smelter Reference List'!$E:$E,0)))</f>
        <v/>
      </c>
      <c r="D959" s="292" t="str">
        <f ca="1">IF(ISERROR($S959),"",OFFSET('Smelter Reference List'!$C$4,$S959-4,0)&amp;"")</f>
        <v/>
      </c>
      <c r="E959" s="292" t="str">
        <f ca="1">IF(ISERROR($S959),"",OFFSET('Smelter Reference List'!$D$4,$S959-4,0)&amp;"")</f>
        <v/>
      </c>
      <c r="F959" s="292" t="str">
        <f ca="1">IF(ISERROR($S959),"",OFFSET('Smelter Reference List'!$E$4,$S959-4,0))</f>
        <v/>
      </c>
      <c r="G959" s="292" t="str">
        <f ca="1">IF(C959=$U$4,"Enter smelter details", IF(ISERROR($S959),"",OFFSET('Smelter Reference List'!$F$4,$S959-4,0)))</f>
        <v/>
      </c>
      <c r="H959" s="293" t="str">
        <f ca="1">IF(ISERROR($S959),"",OFFSET('Smelter Reference List'!$G$4,$S959-4,0))</f>
        <v/>
      </c>
      <c r="I959" s="294" t="str">
        <f ca="1">IF(ISERROR($S959),"",OFFSET('Smelter Reference List'!$H$4,$S959-4,0))</f>
        <v/>
      </c>
      <c r="J959" s="294" t="str">
        <f ca="1">IF(ISERROR($S959),"",OFFSET('Smelter Reference List'!$I$4,$S959-4,0))</f>
        <v/>
      </c>
      <c r="K959" s="295"/>
      <c r="L959" s="295"/>
      <c r="M959" s="295"/>
      <c r="N959" s="295"/>
      <c r="O959" s="295"/>
      <c r="P959" s="295"/>
      <c r="Q959" s="296"/>
      <c r="R959" s="227"/>
      <c r="S959" s="228" t="e">
        <f>IF(C959="",NA(),MATCH($B959&amp;$C959,'Smelter Reference List'!$J:$J,0))</f>
        <v>#N/A</v>
      </c>
      <c r="T959" s="229"/>
      <c r="U959" s="229">
        <f t="shared" ca="1" si="30"/>
        <v>0</v>
      </c>
      <c r="V959" s="229"/>
      <c r="W959" s="229"/>
      <c r="Y959" s="223" t="str">
        <f t="shared" si="31"/>
        <v/>
      </c>
    </row>
    <row r="960" spans="1:25" s="223" customFormat="1" ht="20.25">
      <c r="A960" s="291"/>
      <c r="B960" s="292" t="str">
        <f>IF(LEN(A960)=0,"",INDEX('Smelter Reference List'!$A:$A,MATCH($A960,'Smelter Reference List'!$E:$E,0)))</f>
        <v/>
      </c>
      <c r="C960" s="298" t="str">
        <f>IF(LEN(A960)=0,"",INDEX('Smelter Reference List'!$C:$C,MATCH($A960,'Smelter Reference List'!$E:$E,0)))</f>
        <v/>
      </c>
      <c r="D960" s="292" t="str">
        <f ca="1">IF(ISERROR($S960),"",OFFSET('Smelter Reference List'!$C$4,$S960-4,0)&amp;"")</f>
        <v/>
      </c>
      <c r="E960" s="292" t="str">
        <f ca="1">IF(ISERROR($S960),"",OFFSET('Smelter Reference List'!$D$4,$S960-4,0)&amp;"")</f>
        <v/>
      </c>
      <c r="F960" s="292" t="str">
        <f ca="1">IF(ISERROR($S960),"",OFFSET('Smelter Reference List'!$E$4,$S960-4,0))</f>
        <v/>
      </c>
      <c r="G960" s="292" t="str">
        <f ca="1">IF(C960=$U$4,"Enter smelter details", IF(ISERROR($S960),"",OFFSET('Smelter Reference List'!$F$4,$S960-4,0)))</f>
        <v/>
      </c>
      <c r="H960" s="293" t="str">
        <f ca="1">IF(ISERROR($S960),"",OFFSET('Smelter Reference List'!$G$4,$S960-4,0))</f>
        <v/>
      </c>
      <c r="I960" s="294" t="str">
        <f ca="1">IF(ISERROR($S960),"",OFFSET('Smelter Reference List'!$H$4,$S960-4,0))</f>
        <v/>
      </c>
      <c r="J960" s="294" t="str">
        <f ca="1">IF(ISERROR($S960),"",OFFSET('Smelter Reference List'!$I$4,$S960-4,0))</f>
        <v/>
      </c>
      <c r="K960" s="295"/>
      <c r="L960" s="295"/>
      <c r="M960" s="295"/>
      <c r="N960" s="295"/>
      <c r="O960" s="295"/>
      <c r="P960" s="295"/>
      <c r="Q960" s="296"/>
      <c r="R960" s="227"/>
      <c r="S960" s="228" t="e">
        <f>IF(C960="",NA(),MATCH($B960&amp;$C960,'Smelter Reference List'!$J:$J,0))</f>
        <v>#N/A</v>
      </c>
      <c r="T960" s="229"/>
      <c r="U960" s="229">
        <f t="shared" ca="1" si="30"/>
        <v>0</v>
      </c>
      <c r="V960" s="229"/>
      <c r="W960" s="229"/>
      <c r="Y960" s="223" t="str">
        <f t="shared" si="31"/>
        <v/>
      </c>
    </row>
    <row r="961" spans="1:25" s="223" customFormat="1" ht="20.25">
      <c r="A961" s="291"/>
      <c r="B961" s="292" t="str">
        <f>IF(LEN(A961)=0,"",INDEX('Smelter Reference List'!$A:$A,MATCH($A961,'Smelter Reference List'!$E:$E,0)))</f>
        <v/>
      </c>
      <c r="C961" s="298" t="str">
        <f>IF(LEN(A961)=0,"",INDEX('Smelter Reference List'!$C:$C,MATCH($A961,'Smelter Reference List'!$E:$E,0)))</f>
        <v/>
      </c>
      <c r="D961" s="292" t="str">
        <f ca="1">IF(ISERROR($S961),"",OFFSET('Smelter Reference List'!$C$4,$S961-4,0)&amp;"")</f>
        <v/>
      </c>
      <c r="E961" s="292" t="str">
        <f ca="1">IF(ISERROR($S961),"",OFFSET('Smelter Reference List'!$D$4,$S961-4,0)&amp;"")</f>
        <v/>
      </c>
      <c r="F961" s="292" t="str">
        <f ca="1">IF(ISERROR($S961),"",OFFSET('Smelter Reference List'!$E$4,$S961-4,0))</f>
        <v/>
      </c>
      <c r="G961" s="292" t="str">
        <f ca="1">IF(C961=$U$4,"Enter smelter details", IF(ISERROR($S961),"",OFFSET('Smelter Reference List'!$F$4,$S961-4,0)))</f>
        <v/>
      </c>
      <c r="H961" s="293" t="str">
        <f ca="1">IF(ISERROR($S961),"",OFFSET('Smelter Reference List'!$G$4,$S961-4,0))</f>
        <v/>
      </c>
      <c r="I961" s="294" t="str">
        <f ca="1">IF(ISERROR($S961),"",OFFSET('Smelter Reference List'!$H$4,$S961-4,0))</f>
        <v/>
      </c>
      <c r="J961" s="294" t="str">
        <f ca="1">IF(ISERROR($S961),"",OFFSET('Smelter Reference List'!$I$4,$S961-4,0))</f>
        <v/>
      </c>
      <c r="K961" s="295"/>
      <c r="L961" s="295"/>
      <c r="M961" s="295"/>
      <c r="N961" s="295"/>
      <c r="O961" s="295"/>
      <c r="P961" s="295"/>
      <c r="Q961" s="296"/>
      <c r="R961" s="227"/>
      <c r="S961" s="228" t="e">
        <f>IF(C961="",NA(),MATCH($B961&amp;$C961,'Smelter Reference List'!$J:$J,0))</f>
        <v>#N/A</v>
      </c>
      <c r="T961" s="229"/>
      <c r="U961" s="229">
        <f t="shared" ca="1" si="30"/>
        <v>0</v>
      </c>
      <c r="V961" s="229"/>
      <c r="W961" s="229"/>
      <c r="Y961" s="223" t="str">
        <f t="shared" si="31"/>
        <v/>
      </c>
    </row>
    <row r="962" spans="1:25" s="223" customFormat="1" ht="20.25">
      <c r="A962" s="291"/>
      <c r="B962" s="292" t="str">
        <f>IF(LEN(A962)=0,"",INDEX('Smelter Reference List'!$A:$A,MATCH($A962,'Smelter Reference List'!$E:$E,0)))</f>
        <v/>
      </c>
      <c r="C962" s="298" t="str">
        <f>IF(LEN(A962)=0,"",INDEX('Smelter Reference List'!$C:$C,MATCH($A962,'Smelter Reference List'!$E:$E,0)))</f>
        <v/>
      </c>
      <c r="D962" s="292" t="str">
        <f ca="1">IF(ISERROR($S962),"",OFFSET('Smelter Reference List'!$C$4,$S962-4,0)&amp;"")</f>
        <v/>
      </c>
      <c r="E962" s="292" t="str">
        <f ca="1">IF(ISERROR($S962),"",OFFSET('Smelter Reference List'!$D$4,$S962-4,0)&amp;"")</f>
        <v/>
      </c>
      <c r="F962" s="292" t="str">
        <f ca="1">IF(ISERROR($S962),"",OFFSET('Smelter Reference List'!$E$4,$S962-4,0))</f>
        <v/>
      </c>
      <c r="G962" s="292" t="str">
        <f ca="1">IF(C962=$U$4,"Enter smelter details", IF(ISERROR($S962),"",OFFSET('Smelter Reference List'!$F$4,$S962-4,0)))</f>
        <v/>
      </c>
      <c r="H962" s="293" t="str">
        <f ca="1">IF(ISERROR($S962),"",OFFSET('Smelter Reference List'!$G$4,$S962-4,0))</f>
        <v/>
      </c>
      <c r="I962" s="294" t="str">
        <f ca="1">IF(ISERROR($S962),"",OFFSET('Smelter Reference List'!$H$4,$S962-4,0))</f>
        <v/>
      </c>
      <c r="J962" s="294" t="str">
        <f ca="1">IF(ISERROR($S962),"",OFFSET('Smelter Reference List'!$I$4,$S962-4,0))</f>
        <v/>
      </c>
      <c r="K962" s="295"/>
      <c r="L962" s="295"/>
      <c r="M962" s="295"/>
      <c r="N962" s="295"/>
      <c r="O962" s="295"/>
      <c r="P962" s="295"/>
      <c r="Q962" s="296"/>
      <c r="R962" s="227"/>
      <c r="S962" s="228" t="e">
        <f>IF(C962="",NA(),MATCH($B962&amp;$C962,'Smelter Reference List'!$J:$J,0))</f>
        <v>#N/A</v>
      </c>
      <c r="T962" s="229"/>
      <c r="U962" s="229">
        <f t="shared" ca="1" si="30"/>
        <v>0</v>
      </c>
      <c r="V962" s="229"/>
      <c r="W962" s="229"/>
      <c r="Y962" s="223" t="str">
        <f t="shared" si="31"/>
        <v/>
      </c>
    </row>
    <row r="963" spans="1:25" s="223" customFormat="1" ht="20.25">
      <c r="A963" s="291"/>
      <c r="B963" s="292" t="str">
        <f>IF(LEN(A963)=0,"",INDEX('Smelter Reference List'!$A:$A,MATCH($A963,'Smelter Reference List'!$E:$E,0)))</f>
        <v/>
      </c>
      <c r="C963" s="298" t="str">
        <f>IF(LEN(A963)=0,"",INDEX('Smelter Reference List'!$C:$C,MATCH($A963,'Smelter Reference List'!$E:$E,0)))</f>
        <v/>
      </c>
      <c r="D963" s="292" t="str">
        <f ca="1">IF(ISERROR($S963),"",OFFSET('Smelter Reference List'!$C$4,$S963-4,0)&amp;"")</f>
        <v/>
      </c>
      <c r="E963" s="292" t="str">
        <f ca="1">IF(ISERROR($S963),"",OFFSET('Smelter Reference List'!$D$4,$S963-4,0)&amp;"")</f>
        <v/>
      </c>
      <c r="F963" s="292" t="str">
        <f ca="1">IF(ISERROR($S963),"",OFFSET('Smelter Reference List'!$E$4,$S963-4,0))</f>
        <v/>
      </c>
      <c r="G963" s="292" t="str">
        <f ca="1">IF(C963=$U$4,"Enter smelter details", IF(ISERROR($S963),"",OFFSET('Smelter Reference List'!$F$4,$S963-4,0)))</f>
        <v/>
      </c>
      <c r="H963" s="293" t="str">
        <f ca="1">IF(ISERROR($S963),"",OFFSET('Smelter Reference List'!$G$4,$S963-4,0))</f>
        <v/>
      </c>
      <c r="I963" s="294" t="str">
        <f ca="1">IF(ISERROR($S963),"",OFFSET('Smelter Reference List'!$H$4,$S963-4,0))</f>
        <v/>
      </c>
      <c r="J963" s="294" t="str">
        <f ca="1">IF(ISERROR($S963),"",OFFSET('Smelter Reference List'!$I$4,$S963-4,0))</f>
        <v/>
      </c>
      <c r="K963" s="295"/>
      <c r="L963" s="295"/>
      <c r="M963" s="295"/>
      <c r="N963" s="295"/>
      <c r="O963" s="295"/>
      <c r="P963" s="295"/>
      <c r="Q963" s="296"/>
      <c r="R963" s="227"/>
      <c r="S963" s="228" t="e">
        <f>IF(C963="",NA(),MATCH($B963&amp;$C963,'Smelter Reference List'!$J:$J,0))</f>
        <v>#N/A</v>
      </c>
      <c r="T963" s="229"/>
      <c r="U963" s="229">
        <f t="shared" ca="1" si="30"/>
        <v>0</v>
      </c>
      <c r="V963" s="229"/>
      <c r="W963" s="229"/>
      <c r="Y963" s="223" t="str">
        <f t="shared" si="31"/>
        <v/>
      </c>
    </row>
    <row r="964" spans="1:25" s="223" customFormat="1" ht="20.25">
      <c r="A964" s="291"/>
      <c r="B964" s="292" t="str">
        <f>IF(LEN(A964)=0,"",INDEX('Smelter Reference List'!$A:$A,MATCH($A964,'Smelter Reference List'!$E:$E,0)))</f>
        <v/>
      </c>
      <c r="C964" s="298" t="str">
        <f>IF(LEN(A964)=0,"",INDEX('Smelter Reference List'!$C:$C,MATCH($A964,'Smelter Reference List'!$E:$E,0)))</f>
        <v/>
      </c>
      <c r="D964" s="292" t="str">
        <f ca="1">IF(ISERROR($S964),"",OFFSET('Smelter Reference List'!$C$4,$S964-4,0)&amp;"")</f>
        <v/>
      </c>
      <c r="E964" s="292" t="str">
        <f ca="1">IF(ISERROR($S964),"",OFFSET('Smelter Reference List'!$D$4,$S964-4,0)&amp;"")</f>
        <v/>
      </c>
      <c r="F964" s="292" t="str">
        <f ca="1">IF(ISERROR($S964),"",OFFSET('Smelter Reference List'!$E$4,$S964-4,0))</f>
        <v/>
      </c>
      <c r="G964" s="292" t="str">
        <f ca="1">IF(C964=$U$4,"Enter smelter details", IF(ISERROR($S964),"",OFFSET('Smelter Reference List'!$F$4,$S964-4,0)))</f>
        <v/>
      </c>
      <c r="H964" s="293" t="str">
        <f ca="1">IF(ISERROR($S964),"",OFFSET('Smelter Reference List'!$G$4,$S964-4,0))</f>
        <v/>
      </c>
      <c r="I964" s="294" t="str">
        <f ca="1">IF(ISERROR($S964),"",OFFSET('Smelter Reference List'!$H$4,$S964-4,0))</f>
        <v/>
      </c>
      <c r="J964" s="294" t="str">
        <f ca="1">IF(ISERROR($S964),"",OFFSET('Smelter Reference List'!$I$4,$S964-4,0))</f>
        <v/>
      </c>
      <c r="K964" s="295"/>
      <c r="L964" s="295"/>
      <c r="M964" s="295"/>
      <c r="N964" s="295"/>
      <c r="O964" s="295"/>
      <c r="P964" s="295"/>
      <c r="Q964" s="296"/>
      <c r="R964" s="227"/>
      <c r="S964" s="228" t="e">
        <f>IF(C964="",NA(),MATCH($B964&amp;$C964,'Smelter Reference List'!$J:$J,0))</f>
        <v>#N/A</v>
      </c>
      <c r="T964" s="229"/>
      <c r="U964" s="229">
        <f t="shared" ca="1" si="30"/>
        <v>0</v>
      </c>
      <c r="V964" s="229"/>
      <c r="W964" s="229"/>
      <c r="Y964" s="223" t="str">
        <f t="shared" si="31"/>
        <v/>
      </c>
    </row>
    <row r="965" spans="1:25" s="223" customFormat="1" ht="20.25">
      <c r="A965" s="291"/>
      <c r="B965" s="292" t="str">
        <f>IF(LEN(A965)=0,"",INDEX('Smelter Reference List'!$A:$A,MATCH($A965,'Smelter Reference List'!$E:$E,0)))</f>
        <v/>
      </c>
      <c r="C965" s="298" t="str">
        <f>IF(LEN(A965)=0,"",INDEX('Smelter Reference List'!$C:$C,MATCH($A965,'Smelter Reference List'!$E:$E,0)))</f>
        <v/>
      </c>
      <c r="D965" s="292" t="str">
        <f ca="1">IF(ISERROR($S965),"",OFFSET('Smelter Reference List'!$C$4,$S965-4,0)&amp;"")</f>
        <v/>
      </c>
      <c r="E965" s="292" t="str">
        <f ca="1">IF(ISERROR($S965),"",OFFSET('Smelter Reference List'!$D$4,$S965-4,0)&amp;"")</f>
        <v/>
      </c>
      <c r="F965" s="292" t="str">
        <f ca="1">IF(ISERROR($S965),"",OFFSET('Smelter Reference List'!$E$4,$S965-4,0))</f>
        <v/>
      </c>
      <c r="G965" s="292" t="str">
        <f ca="1">IF(C965=$U$4,"Enter smelter details", IF(ISERROR($S965),"",OFFSET('Smelter Reference List'!$F$4,$S965-4,0)))</f>
        <v/>
      </c>
      <c r="H965" s="293" t="str">
        <f ca="1">IF(ISERROR($S965),"",OFFSET('Smelter Reference List'!$G$4,$S965-4,0))</f>
        <v/>
      </c>
      <c r="I965" s="294" t="str">
        <f ca="1">IF(ISERROR($S965),"",OFFSET('Smelter Reference List'!$H$4,$S965-4,0))</f>
        <v/>
      </c>
      <c r="J965" s="294" t="str">
        <f ca="1">IF(ISERROR($S965),"",OFFSET('Smelter Reference List'!$I$4,$S965-4,0))</f>
        <v/>
      </c>
      <c r="K965" s="295"/>
      <c r="L965" s="295"/>
      <c r="M965" s="295"/>
      <c r="N965" s="295"/>
      <c r="O965" s="295"/>
      <c r="P965" s="295"/>
      <c r="Q965" s="296"/>
      <c r="R965" s="227"/>
      <c r="S965" s="228" t="e">
        <f>IF(C965="",NA(),MATCH($B965&amp;$C965,'Smelter Reference List'!$J:$J,0))</f>
        <v>#N/A</v>
      </c>
      <c r="T965" s="229"/>
      <c r="U965" s="229">
        <f t="shared" ref="U965:U1028" ca="1" si="32">IF(AND(C965="Smelter not listed",OR(LEN(D965)=0,LEN(E965)=0)),1,0)</f>
        <v>0</v>
      </c>
      <c r="V965" s="229"/>
      <c r="W965" s="229"/>
      <c r="Y965" s="223" t="str">
        <f t="shared" ref="Y965:Y1028" si="33">B965&amp;C965</f>
        <v/>
      </c>
    </row>
    <row r="966" spans="1:25" s="223" customFormat="1" ht="20.25">
      <c r="A966" s="291"/>
      <c r="B966" s="292" t="str">
        <f>IF(LEN(A966)=0,"",INDEX('Smelter Reference List'!$A:$A,MATCH($A966,'Smelter Reference List'!$E:$E,0)))</f>
        <v/>
      </c>
      <c r="C966" s="298" t="str">
        <f>IF(LEN(A966)=0,"",INDEX('Smelter Reference List'!$C:$C,MATCH($A966,'Smelter Reference List'!$E:$E,0)))</f>
        <v/>
      </c>
      <c r="D966" s="292" t="str">
        <f ca="1">IF(ISERROR($S966),"",OFFSET('Smelter Reference List'!$C$4,$S966-4,0)&amp;"")</f>
        <v/>
      </c>
      <c r="E966" s="292" t="str">
        <f ca="1">IF(ISERROR($S966),"",OFFSET('Smelter Reference List'!$D$4,$S966-4,0)&amp;"")</f>
        <v/>
      </c>
      <c r="F966" s="292" t="str">
        <f ca="1">IF(ISERROR($S966),"",OFFSET('Smelter Reference List'!$E$4,$S966-4,0))</f>
        <v/>
      </c>
      <c r="G966" s="292" t="str">
        <f ca="1">IF(C966=$U$4,"Enter smelter details", IF(ISERROR($S966),"",OFFSET('Smelter Reference List'!$F$4,$S966-4,0)))</f>
        <v/>
      </c>
      <c r="H966" s="293" t="str">
        <f ca="1">IF(ISERROR($S966),"",OFFSET('Smelter Reference List'!$G$4,$S966-4,0))</f>
        <v/>
      </c>
      <c r="I966" s="294" t="str">
        <f ca="1">IF(ISERROR($S966),"",OFFSET('Smelter Reference List'!$H$4,$S966-4,0))</f>
        <v/>
      </c>
      <c r="J966" s="294" t="str">
        <f ca="1">IF(ISERROR($S966),"",OFFSET('Smelter Reference List'!$I$4,$S966-4,0))</f>
        <v/>
      </c>
      <c r="K966" s="295"/>
      <c r="L966" s="295"/>
      <c r="M966" s="295"/>
      <c r="N966" s="295"/>
      <c r="O966" s="295"/>
      <c r="P966" s="295"/>
      <c r="Q966" s="296"/>
      <c r="R966" s="227"/>
      <c r="S966" s="228" t="e">
        <f>IF(C966="",NA(),MATCH($B966&amp;$C966,'Smelter Reference List'!$J:$J,0))</f>
        <v>#N/A</v>
      </c>
      <c r="T966" s="229"/>
      <c r="U966" s="229">
        <f t="shared" ca="1" si="32"/>
        <v>0</v>
      </c>
      <c r="V966" s="229"/>
      <c r="W966" s="229"/>
      <c r="Y966" s="223" t="str">
        <f t="shared" si="33"/>
        <v/>
      </c>
    </row>
    <row r="967" spans="1:25" s="223" customFormat="1" ht="20.25">
      <c r="A967" s="291"/>
      <c r="B967" s="292" t="str">
        <f>IF(LEN(A967)=0,"",INDEX('Smelter Reference List'!$A:$A,MATCH($A967,'Smelter Reference List'!$E:$E,0)))</f>
        <v/>
      </c>
      <c r="C967" s="298" t="str">
        <f>IF(LEN(A967)=0,"",INDEX('Smelter Reference List'!$C:$C,MATCH($A967,'Smelter Reference List'!$E:$E,0)))</f>
        <v/>
      </c>
      <c r="D967" s="292" t="str">
        <f ca="1">IF(ISERROR($S967),"",OFFSET('Smelter Reference List'!$C$4,$S967-4,0)&amp;"")</f>
        <v/>
      </c>
      <c r="E967" s="292" t="str">
        <f ca="1">IF(ISERROR($S967),"",OFFSET('Smelter Reference List'!$D$4,$S967-4,0)&amp;"")</f>
        <v/>
      </c>
      <c r="F967" s="292" t="str">
        <f ca="1">IF(ISERROR($S967),"",OFFSET('Smelter Reference List'!$E$4,$S967-4,0))</f>
        <v/>
      </c>
      <c r="G967" s="292" t="str">
        <f ca="1">IF(C967=$U$4,"Enter smelter details", IF(ISERROR($S967),"",OFFSET('Smelter Reference List'!$F$4,$S967-4,0)))</f>
        <v/>
      </c>
      <c r="H967" s="293" t="str">
        <f ca="1">IF(ISERROR($S967),"",OFFSET('Smelter Reference List'!$G$4,$S967-4,0))</f>
        <v/>
      </c>
      <c r="I967" s="294" t="str">
        <f ca="1">IF(ISERROR($S967),"",OFFSET('Smelter Reference List'!$H$4,$S967-4,0))</f>
        <v/>
      </c>
      <c r="J967" s="294" t="str">
        <f ca="1">IF(ISERROR($S967),"",OFFSET('Smelter Reference List'!$I$4,$S967-4,0))</f>
        <v/>
      </c>
      <c r="K967" s="295"/>
      <c r="L967" s="295"/>
      <c r="M967" s="295"/>
      <c r="N967" s="295"/>
      <c r="O967" s="295"/>
      <c r="P967" s="295"/>
      <c r="Q967" s="296"/>
      <c r="R967" s="227"/>
      <c r="S967" s="228" t="e">
        <f>IF(C967="",NA(),MATCH($B967&amp;$C967,'Smelter Reference List'!$J:$J,0))</f>
        <v>#N/A</v>
      </c>
      <c r="T967" s="229"/>
      <c r="U967" s="229">
        <f t="shared" ca="1" si="32"/>
        <v>0</v>
      </c>
      <c r="V967" s="229"/>
      <c r="W967" s="229"/>
      <c r="Y967" s="223" t="str">
        <f t="shared" si="33"/>
        <v/>
      </c>
    </row>
    <row r="968" spans="1:25" s="223" customFormat="1" ht="20.25">
      <c r="A968" s="291"/>
      <c r="B968" s="292" t="str">
        <f>IF(LEN(A968)=0,"",INDEX('Smelter Reference List'!$A:$A,MATCH($A968,'Smelter Reference List'!$E:$E,0)))</f>
        <v/>
      </c>
      <c r="C968" s="298" t="str">
        <f>IF(LEN(A968)=0,"",INDEX('Smelter Reference List'!$C:$C,MATCH($A968,'Smelter Reference List'!$E:$E,0)))</f>
        <v/>
      </c>
      <c r="D968" s="292" t="str">
        <f ca="1">IF(ISERROR($S968),"",OFFSET('Smelter Reference List'!$C$4,$S968-4,0)&amp;"")</f>
        <v/>
      </c>
      <c r="E968" s="292" t="str">
        <f ca="1">IF(ISERROR($S968),"",OFFSET('Smelter Reference List'!$D$4,$S968-4,0)&amp;"")</f>
        <v/>
      </c>
      <c r="F968" s="292" t="str">
        <f ca="1">IF(ISERROR($S968),"",OFFSET('Smelter Reference List'!$E$4,$S968-4,0))</f>
        <v/>
      </c>
      <c r="G968" s="292" t="str">
        <f ca="1">IF(C968=$U$4,"Enter smelter details", IF(ISERROR($S968),"",OFFSET('Smelter Reference List'!$F$4,$S968-4,0)))</f>
        <v/>
      </c>
      <c r="H968" s="293" t="str">
        <f ca="1">IF(ISERROR($S968),"",OFFSET('Smelter Reference List'!$G$4,$S968-4,0))</f>
        <v/>
      </c>
      <c r="I968" s="294" t="str">
        <f ca="1">IF(ISERROR($S968),"",OFFSET('Smelter Reference List'!$H$4,$S968-4,0))</f>
        <v/>
      </c>
      <c r="J968" s="294" t="str">
        <f ca="1">IF(ISERROR($S968),"",OFFSET('Smelter Reference List'!$I$4,$S968-4,0))</f>
        <v/>
      </c>
      <c r="K968" s="295"/>
      <c r="L968" s="295"/>
      <c r="M968" s="295"/>
      <c r="N968" s="295"/>
      <c r="O968" s="295"/>
      <c r="P968" s="295"/>
      <c r="Q968" s="296"/>
      <c r="R968" s="227"/>
      <c r="S968" s="228" t="e">
        <f>IF(C968="",NA(),MATCH($B968&amp;$C968,'Smelter Reference List'!$J:$J,0))</f>
        <v>#N/A</v>
      </c>
      <c r="T968" s="229"/>
      <c r="U968" s="229">
        <f t="shared" ca="1" si="32"/>
        <v>0</v>
      </c>
      <c r="V968" s="229"/>
      <c r="W968" s="229"/>
      <c r="Y968" s="223" t="str">
        <f t="shared" si="33"/>
        <v/>
      </c>
    </row>
    <row r="969" spans="1:25" s="223" customFormat="1" ht="20.25">
      <c r="A969" s="291"/>
      <c r="B969" s="292" t="str">
        <f>IF(LEN(A969)=0,"",INDEX('Smelter Reference List'!$A:$A,MATCH($A969,'Smelter Reference List'!$E:$E,0)))</f>
        <v/>
      </c>
      <c r="C969" s="298" t="str">
        <f>IF(LEN(A969)=0,"",INDEX('Smelter Reference List'!$C:$C,MATCH($A969,'Smelter Reference List'!$E:$E,0)))</f>
        <v/>
      </c>
      <c r="D969" s="292" t="str">
        <f ca="1">IF(ISERROR($S969),"",OFFSET('Smelter Reference List'!$C$4,$S969-4,0)&amp;"")</f>
        <v/>
      </c>
      <c r="E969" s="292" t="str">
        <f ca="1">IF(ISERROR($S969),"",OFFSET('Smelter Reference List'!$D$4,$S969-4,0)&amp;"")</f>
        <v/>
      </c>
      <c r="F969" s="292" t="str">
        <f ca="1">IF(ISERROR($S969),"",OFFSET('Smelter Reference List'!$E$4,$S969-4,0))</f>
        <v/>
      </c>
      <c r="G969" s="292" t="str">
        <f ca="1">IF(C969=$U$4,"Enter smelter details", IF(ISERROR($S969),"",OFFSET('Smelter Reference List'!$F$4,$S969-4,0)))</f>
        <v/>
      </c>
      <c r="H969" s="293" t="str">
        <f ca="1">IF(ISERROR($S969),"",OFFSET('Smelter Reference List'!$G$4,$S969-4,0))</f>
        <v/>
      </c>
      <c r="I969" s="294" t="str">
        <f ca="1">IF(ISERROR($S969),"",OFFSET('Smelter Reference List'!$H$4,$S969-4,0))</f>
        <v/>
      </c>
      <c r="J969" s="294" t="str">
        <f ca="1">IF(ISERROR($S969),"",OFFSET('Smelter Reference List'!$I$4,$S969-4,0))</f>
        <v/>
      </c>
      <c r="K969" s="295"/>
      <c r="L969" s="295"/>
      <c r="M969" s="295"/>
      <c r="N969" s="295"/>
      <c r="O969" s="295"/>
      <c r="P969" s="295"/>
      <c r="Q969" s="296"/>
      <c r="R969" s="227"/>
      <c r="S969" s="228" t="e">
        <f>IF(C969="",NA(),MATCH($B969&amp;$C969,'Smelter Reference List'!$J:$J,0))</f>
        <v>#N/A</v>
      </c>
      <c r="T969" s="229"/>
      <c r="U969" s="229">
        <f t="shared" ca="1" si="32"/>
        <v>0</v>
      </c>
      <c r="V969" s="229"/>
      <c r="W969" s="229"/>
      <c r="Y969" s="223" t="str">
        <f t="shared" si="33"/>
        <v/>
      </c>
    </row>
    <row r="970" spans="1:25" s="223" customFormat="1" ht="20.25">
      <c r="A970" s="291"/>
      <c r="B970" s="292" t="str">
        <f>IF(LEN(A970)=0,"",INDEX('Smelter Reference List'!$A:$A,MATCH($A970,'Smelter Reference List'!$E:$E,0)))</f>
        <v/>
      </c>
      <c r="C970" s="298" t="str">
        <f>IF(LEN(A970)=0,"",INDEX('Smelter Reference List'!$C:$C,MATCH($A970,'Smelter Reference List'!$E:$E,0)))</f>
        <v/>
      </c>
      <c r="D970" s="292" t="str">
        <f ca="1">IF(ISERROR($S970),"",OFFSET('Smelter Reference List'!$C$4,$S970-4,0)&amp;"")</f>
        <v/>
      </c>
      <c r="E970" s="292" t="str">
        <f ca="1">IF(ISERROR($S970),"",OFFSET('Smelter Reference List'!$D$4,$S970-4,0)&amp;"")</f>
        <v/>
      </c>
      <c r="F970" s="292" t="str">
        <f ca="1">IF(ISERROR($S970),"",OFFSET('Smelter Reference List'!$E$4,$S970-4,0))</f>
        <v/>
      </c>
      <c r="G970" s="292" t="str">
        <f ca="1">IF(C970=$U$4,"Enter smelter details", IF(ISERROR($S970),"",OFFSET('Smelter Reference List'!$F$4,$S970-4,0)))</f>
        <v/>
      </c>
      <c r="H970" s="293" t="str">
        <f ca="1">IF(ISERROR($S970),"",OFFSET('Smelter Reference List'!$G$4,$S970-4,0))</f>
        <v/>
      </c>
      <c r="I970" s="294" t="str">
        <f ca="1">IF(ISERROR($S970),"",OFFSET('Smelter Reference List'!$H$4,$S970-4,0))</f>
        <v/>
      </c>
      <c r="J970" s="294" t="str">
        <f ca="1">IF(ISERROR($S970),"",OFFSET('Smelter Reference List'!$I$4,$S970-4,0))</f>
        <v/>
      </c>
      <c r="K970" s="295"/>
      <c r="L970" s="295"/>
      <c r="M970" s="295"/>
      <c r="N970" s="295"/>
      <c r="O970" s="295"/>
      <c r="P970" s="295"/>
      <c r="Q970" s="296"/>
      <c r="R970" s="227"/>
      <c r="S970" s="228" t="e">
        <f>IF(C970="",NA(),MATCH($B970&amp;$C970,'Smelter Reference List'!$J:$J,0))</f>
        <v>#N/A</v>
      </c>
      <c r="T970" s="229"/>
      <c r="U970" s="229">
        <f t="shared" ca="1" si="32"/>
        <v>0</v>
      </c>
      <c r="V970" s="229"/>
      <c r="W970" s="229"/>
      <c r="Y970" s="223" t="str">
        <f t="shared" si="33"/>
        <v/>
      </c>
    </row>
    <row r="971" spans="1:25" s="223" customFormat="1" ht="20.25">
      <c r="A971" s="291"/>
      <c r="B971" s="292" t="str">
        <f>IF(LEN(A971)=0,"",INDEX('Smelter Reference List'!$A:$A,MATCH($A971,'Smelter Reference List'!$E:$E,0)))</f>
        <v/>
      </c>
      <c r="C971" s="298" t="str">
        <f>IF(LEN(A971)=0,"",INDEX('Smelter Reference List'!$C:$C,MATCH($A971,'Smelter Reference List'!$E:$E,0)))</f>
        <v/>
      </c>
      <c r="D971" s="292" t="str">
        <f ca="1">IF(ISERROR($S971),"",OFFSET('Smelter Reference List'!$C$4,$S971-4,0)&amp;"")</f>
        <v/>
      </c>
      <c r="E971" s="292" t="str">
        <f ca="1">IF(ISERROR($S971),"",OFFSET('Smelter Reference List'!$D$4,$S971-4,0)&amp;"")</f>
        <v/>
      </c>
      <c r="F971" s="292" t="str">
        <f ca="1">IF(ISERROR($S971),"",OFFSET('Smelter Reference List'!$E$4,$S971-4,0))</f>
        <v/>
      </c>
      <c r="G971" s="292" t="str">
        <f ca="1">IF(C971=$U$4,"Enter smelter details", IF(ISERROR($S971),"",OFFSET('Smelter Reference List'!$F$4,$S971-4,0)))</f>
        <v/>
      </c>
      <c r="H971" s="293" t="str">
        <f ca="1">IF(ISERROR($S971),"",OFFSET('Smelter Reference List'!$G$4,$S971-4,0))</f>
        <v/>
      </c>
      <c r="I971" s="294" t="str">
        <f ca="1">IF(ISERROR($S971),"",OFFSET('Smelter Reference List'!$H$4,$S971-4,0))</f>
        <v/>
      </c>
      <c r="J971" s="294" t="str">
        <f ca="1">IF(ISERROR($S971),"",OFFSET('Smelter Reference List'!$I$4,$S971-4,0))</f>
        <v/>
      </c>
      <c r="K971" s="295"/>
      <c r="L971" s="295"/>
      <c r="M971" s="295"/>
      <c r="N971" s="295"/>
      <c r="O971" s="295"/>
      <c r="P971" s="295"/>
      <c r="Q971" s="296"/>
      <c r="R971" s="227"/>
      <c r="S971" s="228" t="e">
        <f>IF(C971="",NA(),MATCH($B971&amp;$C971,'Smelter Reference List'!$J:$J,0))</f>
        <v>#N/A</v>
      </c>
      <c r="T971" s="229"/>
      <c r="U971" s="229">
        <f t="shared" ca="1" si="32"/>
        <v>0</v>
      </c>
      <c r="V971" s="229"/>
      <c r="W971" s="229"/>
      <c r="Y971" s="223" t="str">
        <f t="shared" si="33"/>
        <v/>
      </c>
    </row>
    <row r="972" spans="1:25" s="223" customFormat="1" ht="20.25">
      <c r="A972" s="291"/>
      <c r="B972" s="292" t="str">
        <f>IF(LEN(A972)=0,"",INDEX('Smelter Reference List'!$A:$A,MATCH($A972,'Smelter Reference List'!$E:$E,0)))</f>
        <v/>
      </c>
      <c r="C972" s="298" t="str">
        <f>IF(LEN(A972)=0,"",INDEX('Smelter Reference List'!$C:$C,MATCH($A972,'Smelter Reference List'!$E:$E,0)))</f>
        <v/>
      </c>
      <c r="D972" s="292" t="str">
        <f ca="1">IF(ISERROR($S972),"",OFFSET('Smelter Reference List'!$C$4,$S972-4,0)&amp;"")</f>
        <v/>
      </c>
      <c r="E972" s="292" t="str">
        <f ca="1">IF(ISERROR($S972),"",OFFSET('Smelter Reference List'!$D$4,$S972-4,0)&amp;"")</f>
        <v/>
      </c>
      <c r="F972" s="292" t="str">
        <f ca="1">IF(ISERROR($S972),"",OFFSET('Smelter Reference List'!$E$4,$S972-4,0))</f>
        <v/>
      </c>
      <c r="G972" s="292" t="str">
        <f ca="1">IF(C972=$U$4,"Enter smelter details", IF(ISERROR($S972),"",OFFSET('Smelter Reference List'!$F$4,$S972-4,0)))</f>
        <v/>
      </c>
      <c r="H972" s="293" t="str">
        <f ca="1">IF(ISERROR($S972),"",OFFSET('Smelter Reference List'!$G$4,$S972-4,0))</f>
        <v/>
      </c>
      <c r="I972" s="294" t="str">
        <f ca="1">IF(ISERROR($S972),"",OFFSET('Smelter Reference List'!$H$4,$S972-4,0))</f>
        <v/>
      </c>
      <c r="J972" s="294" t="str">
        <f ca="1">IF(ISERROR($S972),"",OFFSET('Smelter Reference List'!$I$4,$S972-4,0))</f>
        <v/>
      </c>
      <c r="K972" s="295"/>
      <c r="L972" s="295"/>
      <c r="M972" s="295"/>
      <c r="N972" s="295"/>
      <c r="O972" s="295"/>
      <c r="P972" s="295"/>
      <c r="Q972" s="296"/>
      <c r="R972" s="227"/>
      <c r="S972" s="228" t="e">
        <f>IF(C972="",NA(),MATCH($B972&amp;$C972,'Smelter Reference List'!$J:$J,0))</f>
        <v>#N/A</v>
      </c>
      <c r="T972" s="229"/>
      <c r="U972" s="229">
        <f t="shared" ca="1" si="32"/>
        <v>0</v>
      </c>
      <c r="V972" s="229"/>
      <c r="W972" s="229"/>
      <c r="Y972" s="223" t="str">
        <f t="shared" si="33"/>
        <v/>
      </c>
    </row>
    <row r="973" spans="1:25" s="223" customFormat="1" ht="20.25">
      <c r="A973" s="291"/>
      <c r="B973" s="292" t="str">
        <f>IF(LEN(A973)=0,"",INDEX('Smelter Reference List'!$A:$A,MATCH($A973,'Smelter Reference List'!$E:$E,0)))</f>
        <v/>
      </c>
      <c r="C973" s="298" t="str">
        <f>IF(LEN(A973)=0,"",INDEX('Smelter Reference List'!$C:$C,MATCH($A973,'Smelter Reference List'!$E:$E,0)))</f>
        <v/>
      </c>
      <c r="D973" s="292" t="str">
        <f ca="1">IF(ISERROR($S973),"",OFFSET('Smelter Reference List'!$C$4,$S973-4,0)&amp;"")</f>
        <v/>
      </c>
      <c r="E973" s="292" t="str">
        <f ca="1">IF(ISERROR($S973),"",OFFSET('Smelter Reference List'!$D$4,$S973-4,0)&amp;"")</f>
        <v/>
      </c>
      <c r="F973" s="292" t="str">
        <f ca="1">IF(ISERROR($S973),"",OFFSET('Smelter Reference List'!$E$4,$S973-4,0))</f>
        <v/>
      </c>
      <c r="G973" s="292" t="str">
        <f ca="1">IF(C973=$U$4,"Enter smelter details", IF(ISERROR($S973),"",OFFSET('Smelter Reference List'!$F$4,$S973-4,0)))</f>
        <v/>
      </c>
      <c r="H973" s="293" t="str">
        <f ca="1">IF(ISERROR($S973),"",OFFSET('Smelter Reference List'!$G$4,$S973-4,0))</f>
        <v/>
      </c>
      <c r="I973" s="294" t="str">
        <f ca="1">IF(ISERROR($S973),"",OFFSET('Smelter Reference List'!$H$4,$S973-4,0))</f>
        <v/>
      </c>
      <c r="J973" s="294" t="str">
        <f ca="1">IF(ISERROR($S973),"",OFFSET('Smelter Reference List'!$I$4,$S973-4,0))</f>
        <v/>
      </c>
      <c r="K973" s="295"/>
      <c r="L973" s="295"/>
      <c r="M973" s="295"/>
      <c r="N973" s="295"/>
      <c r="O973" s="295"/>
      <c r="P973" s="295"/>
      <c r="Q973" s="296"/>
      <c r="R973" s="227"/>
      <c r="S973" s="228" t="e">
        <f>IF(C973="",NA(),MATCH($B973&amp;$C973,'Smelter Reference List'!$J:$J,0))</f>
        <v>#N/A</v>
      </c>
      <c r="T973" s="229"/>
      <c r="U973" s="229">
        <f t="shared" ca="1" si="32"/>
        <v>0</v>
      </c>
      <c r="V973" s="229"/>
      <c r="W973" s="229"/>
      <c r="Y973" s="223" t="str">
        <f t="shared" si="33"/>
        <v/>
      </c>
    </row>
    <row r="974" spans="1:25" s="223" customFormat="1" ht="20.25">
      <c r="A974" s="291"/>
      <c r="B974" s="292" t="str">
        <f>IF(LEN(A974)=0,"",INDEX('Smelter Reference List'!$A:$A,MATCH($A974,'Smelter Reference List'!$E:$E,0)))</f>
        <v/>
      </c>
      <c r="C974" s="298" t="str">
        <f>IF(LEN(A974)=0,"",INDEX('Smelter Reference List'!$C:$C,MATCH($A974,'Smelter Reference List'!$E:$E,0)))</f>
        <v/>
      </c>
      <c r="D974" s="292" t="str">
        <f ca="1">IF(ISERROR($S974),"",OFFSET('Smelter Reference List'!$C$4,$S974-4,0)&amp;"")</f>
        <v/>
      </c>
      <c r="E974" s="292" t="str">
        <f ca="1">IF(ISERROR($S974),"",OFFSET('Smelter Reference List'!$D$4,$S974-4,0)&amp;"")</f>
        <v/>
      </c>
      <c r="F974" s="292" t="str">
        <f ca="1">IF(ISERROR($S974),"",OFFSET('Smelter Reference List'!$E$4,$S974-4,0))</f>
        <v/>
      </c>
      <c r="G974" s="292" t="str">
        <f ca="1">IF(C974=$U$4,"Enter smelter details", IF(ISERROR($S974),"",OFFSET('Smelter Reference List'!$F$4,$S974-4,0)))</f>
        <v/>
      </c>
      <c r="H974" s="293" t="str">
        <f ca="1">IF(ISERROR($S974),"",OFFSET('Smelter Reference List'!$G$4,$S974-4,0))</f>
        <v/>
      </c>
      <c r="I974" s="294" t="str">
        <f ca="1">IF(ISERROR($S974),"",OFFSET('Smelter Reference List'!$H$4,$S974-4,0))</f>
        <v/>
      </c>
      <c r="J974" s="294" t="str">
        <f ca="1">IF(ISERROR($S974),"",OFFSET('Smelter Reference List'!$I$4,$S974-4,0))</f>
        <v/>
      </c>
      <c r="K974" s="295"/>
      <c r="L974" s="295"/>
      <c r="M974" s="295"/>
      <c r="N974" s="295"/>
      <c r="O974" s="295"/>
      <c r="P974" s="295"/>
      <c r="Q974" s="296"/>
      <c r="R974" s="227"/>
      <c r="S974" s="228" t="e">
        <f>IF(C974="",NA(),MATCH($B974&amp;$C974,'Smelter Reference List'!$J:$J,0))</f>
        <v>#N/A</v>
      </c>
      <c r="T974" s="229"/>
      <c r="U974" s="229">
        <f t="shared" ca="1" si="32"/>
        <v>0</v>
      </c>
      <c r="V974" s="229"/>
      <c r="W974" s="229"/>
      <c r="Y974" s="223" t="str">
        <f t="shared" si="33"/>
        <v/>
      </c>
    </row>
    <row r="975" spans="1:25" s="223" customFormat="1" ht="20.25">
      <c r="A975" s="291"/>
      <c r="B975" s="292" t="str">
        <f>IF(LEN(A975)=0,"",INDEX('Smelter Reference List'!$A:$A,MATCH($A975,'Smelter Reference List'!$E:$E,0)))</f>
        <v/>
      </c>
      <c r="C975" s="298" t="str">
        <f>IF(LEN(A975)=0,"",INDEX('Smelter Reference List'!$C:$C,MATCH($A975,'Smelter Reference List'!$E:$E,0)))</f>
        <v/>
      </c>
      <c r="D975" s="292" t="str">
        <f ca="1">IF(ISERROR($S975),"",OFFSET('Smelter Reference List'!$C$4,$S975-4,0)&amp;"")</f>
        <v/>
      </c>
      <c r="E975" s="292" t="str">
        <f ca="1">IF(ISERROR($S975),"",OFFSET('Smelter Reference List'!$D$4,$S975-4,0)&amp;"")</f>
        <v/>
      </c>
      <c r="F975" s="292" t="str">
        <f ca="1">IF(ISERROR($S975),"",OFFSET('Smelter Reference List'!$E$4,$S975-4,0))</f>
        <v/>
      </c>
      <c r="G975" s="292" t="str">
        <f ca="1">IF(C975=$U$4,"Enter smelter details", IF(ISERROR($S975),"",OFFSET('Smelter Reference List'!$F$4,$S975-4,0)))</f>
        <v/>
      </c>
      <c r="H975" s="293" t="str">
        <f ca="1">IF(ISERROR($S975),"",OFFSET('Smelter Reference List'!$G$4,$S975-4,0))</f>
        <v/>
      </c>
      <c r="I975" s="294" t="str">
        <f ca="1">IF(ISERROR($S975),"",OFFSET('Smelter Reference List'!$H$4,$S975-4,0))</f>
        <v/>
      </c>
      <c r="J975" s="294" t="str">
        <f ca="1">IF(ISERROR($S975),"",OFFSET('Smelter Reference List'!$I$4,$S975-4,0))</f>
        <v/>
      </c>
      <c r="K975" s="295"/>
      <c r="L975" s="295"/>
      <c r="M975" s="295"/>
      <c r="N975" s="295"/>
      <c r="O975" s="295"/>
      <c r="P975" s="295"/>
      <c r="Q975" s="296"/>
      <c r="R975" s="227"/>
      <c r="S975" s="228" t="e">
        <f>IF(C975="",NA(),MATCH($B975&amp;$C975,'Smelter Reference List'!$J:$J,0))</f>
        <v>#N/A</v>
      </c>
      <c r="T975" s="229"/>
      <c r="U975" s="229">
        <f t="shared" ca="1" si="32"/>
        <v>0</v>
      </c>
      <c r="V975" s="229"/>
      <c r="W975" s="229"/>
      <c r="Y975" s="223" t="str">
        <f t="shared" si="33"/>
        <v/>
      </c>
    </row>
    <row r="976" spans="1:25" s="223" customFormat="1" ht="20.25">
      <c r="A976" s="291"/>
      <c r="B976" s="292" t="str">
        <f>IF(LEN(A976)=0,"",INDEX('Smelter Reference List'!$A:$A,MATCH($A976,'Smelter Reference List'!$E:$E,0)))</f>
        <v/>
      </c>
      <c r="C976" s="298" t="str">
        <f>IF(LEN(A976)=0,"",INDEX('Smelter Reference List'!$C:$C,MATCH($A976,'Smelter Reference List'!$E:$E,0)))</f>
        <v/>
      </c>
      <c r="D976" s="292" t="str">
        <f ca="1">IF(ISERROR($S976),"",OFFSET('Smelter Reference List'!$C$4,$S976-4,0)&amp;"")</f>
        <v/>
      </c>
      <c r="E976" s="292" t="str">
        <f ca="1">IF(ISERROR($S976),"",OFFSET('Smelter Reference List'!$D$4,$S976-4,0)&amp;"")</f>
        <v/>
      </c>
      <c r="F976" s="292" t="str">
        <f ca="1">IF(ISERROR($S976),"",OFFSET('Smelter Reference List'!$E$4,$S976-4,0))</f>
        <v/>
      </c>
      <c r="G976" s="292" t="str">
        <f ca="1">IF(C976=$U$4,"Enter smelter details", IF(ISERROR($S976),"",OFFSET('Smelter Reference List'!$F$4,$S976-4,0)))</f>
        <v/>
      </c>
      <c r="H976" s="293" t="str">
        <f ca="1">IF(ISERROR($S976),"",OFFSET('Smelter Reference List'!$G$4,$S976-4,0))</f>
        <v/>
      </c>
      <c r="I976" s="294" t="str">
        <f ca="1">IF(ISERROR($S976),"",OFFSET('Smelter Reference List'!$H$4,$S976-4,0))</f>
        <v/>
      </c>
      <c r="J976" s="294" t="str">
        <f ca="1">IF(ISERROR($S976),"",OFFSET('Smelter Reference List'!$I$4,$S976-4,0))</f>
        <v/>
      </c>
      <c r="K976" s="295"/>
      <c r="L976" s="295"/>
      <c r="M976" s="295"/>
      <c r="N976" s="295"/>
      <c r="O976" s="295"/>
      <c r="P976" s="295"/>
      <c r="Q976" s="296"/>
      <c r="R976" s="227"/>
      <c r="S976" s="228" t="e">
        <f>IF(C976="",NA(),MATCH($B976&amp;$C976,'Smelter Reference List'!$J:$J,0))</f>
        <v>#N/A</v>
      </c>
      <c r="T976" s="229"/>
      <c r="U976" s="229">
        <f t="shared" ca="1" si="32"/>
        <v>0</v>
      </c>
      <c r="V976" s="229"/>
      <c r="W976" s="229"/>
      <c r="Y976" s="223" t="str">
        <f t="shared" si="33"/>
        <v/>
      </c>
    </row>
    <row r="977" spans="1:25" s="223" customFormat="1" ht="20.25">
      <c r="A977" s="291"/>
      <c r="B977" s="292" t="str">
        <f>IF(LEN(A977)=0,"",INDEX('Smelter Reference List'!$A:$A,MATCH($A977,'Smelter Reference List'!$E:$E,0)))</f>
        <v/>
      </c>
      <c r="C977" s="298" t="str">
        <f>IF(LEN(A977)=0,"",INDEX('Smelter Reference List'!$C:$C,MATCH($A977,'Smelter Reference List'!$E:$E,0)))</f>
        <v/>
      </c>
      <c r="D977" s="292" t="str">
        <f ca="1">IF(ISERROR($S977),"",OFFSET('Smelter Reference List'!$C$4,$S977-4,0)&amp;"")</f>
        <v/>
      </c>
      <c r="E977" s="292" t="str">
        <f ca="1">IF(ISERROR($S977),"",OFFSET('Smelter Reference List'!$D$4,$S977-4,0)&amp;"")</f>
        <v/>
      </c>
      <c r="F977" s="292" t="str">
        <f ca="1">IF(ISERROR($S977),"",OFFSET('Smelter Reference List'!$E$4,$S977-4,0))</f>
        <v/>
      </c>
      <c r="G977" s="292" t="str">
        <f ca="1">IF(C977=$U$4,"Enter smelter details", IF(ISERROR($S977),"",OFFSET('Smelter Reference List'!$F$4,$S977-4,0)))</f>
        <v/>
      </c>
      <c r="H977" s="293" t="str">
        <f ca="1">IF(ISERROR($S977),"",OFFSET('Smelter Reference List'!$G$4,$S977-4,0))</f>
        <v/>
      </c>
      <c r="I977" s="294" t="str">
        <f ca="1">IF(ISERROR($S977),"",OFFSET('Smelter Reference List'!$H$4,$S977-4,0))</f>
        <v/>
      </c>
      <c r="J977" s="294" t="str">
        <f ca="1">IF(ISERROR($S977),"",OFFSET('Smelter Reference List'!$I$4,$S977-4,0))</f>
        <v/>
      </c>
      <c r="K977" s="295"/>
      <c r="L977" s="295"/>
      <c r="M977" s="295"/>
      <c r="N977" s="295"/>
      <c r="O977" s="295"/>
      <c r="P977" s="295"/>
      <c r="Q977" s="296"/>
      <c r="R977" s="227"/>
      <c r="S977" s="228" t="e">
        <f>IF(C977="",NA(),MATCH($B977&amp;$C977,'Smelter Reference List'!$J:$J,0))</f>
        <v>#N/A</v>
      </c>
      <c r="T977" s="229"/>
      <c r="U977" s="229">
        <f t="shared" ca="1" si="32"/>
        <v>0</v>
      </c>
      <c r="V977" s="229"/>
      <c r="W977" s="229"/>
      <c r="Y977" s="223" t="str">
        <f t="shared" si="33"/>
        <v/>
      </c>
    </row>
    <row r="978" spans="1:25" s="223" customFormat="1" ht="20.25">
      <c r="A978" s="291"/>
      <c r="B978" s="292" t="str">
        <f>IF(LEN(A978)=0,"",INDEX('Smelter Reference List'!$A:$A,MATCH($A978,'Smelter Reference List'!$E:$E,0)))</f>
        <v/>
      </c>
      <c r="C978" s="298" t="str">
        <f>IF(LEN(A978)=0,"",INDEX('Smelter Reference List'!$C:$C,MATCH($A978,'Smelter Reference List'!$E:$E,0)))</f>
        <v/>
      </c>
      <c r="D978" s="292" t="str">
        <f ca="1">IF(ISERROR($S978),"",OFFSET('Smelter Reference List'!$C$4,$S978-4,0)&amp;"")</f>
        <v/>
      </c>
      <c r="E978" s="292" t="str">
        <f ca="1">IF(ISERROR($S978),"",OFFSET('Smelter Reference List'!$D$4,$S978-4,0)&amp;"")</f>
        <v/>
      </c>
      <c r="F978" s="292" t="str">
        <f ca="1">IF(ISERROR($S978),"",OFFSET('Smelter Reference List'!$E$4,$S978-4,0))</f>
        <v/>
      </c>
      <c r="G978" s="292" t="str">
        <f ca="1">IF(C978=$U$4,"Enter smelter details", IF(ISERROR($S978),"",OFFSET('Smelter Reference List'!$F$4,$S978-4,0)))</f>
        <v/>
      </c>
      <c r="H978" s="293" t="str">
        <f ca="1">IF(ISERROR($S978),"",OFFSET('Smelter Reference List'!$G$4,$S978-4,0))</f>
        <v/>
      </c>
      <c r="I978" s="294" t="str">
        <f ca="1">IF(ISERROR($S978),"",OFFSET('Smelter Reference List'!$H$4,$S978-4,0))</f>
        <v/>
      </c>
      <c r="J978" s="294" t="str">
        <f ca="1">IF(ISERROR($S978),"",OFFSET('Smelter Reference List'!$I$4,$S978-4,0))</f>
        <v/>
      </c>
      <c r="K978" s="295"/>
      <c r="L978" s="295"/>
      <c r="M978" s="295"/>
      <c r="N978" s="295"/>
      <c r="O978" s="295"/>
      <c r="P978" s="295"/>
      <c r="Q978" s="296"/>
      <c r="R978" s="227"/>
      <c r="S978" s="228" t="e">
        <f>IF(C978="",NA(),MATCH($B978&amp;$C978,'Smelter Reference List'!$J:$J,0))</f>
        <v>#N/A</v>
      </c>
      <c r="T978" s="229"/>
      <c r="U978" s="229">
        <f t="shared" ca="1" si="32"/>
        <v>0</v>
      </c>
      <c r="V978" s="229"/>
      <c r="W978" s="229"/>
      <c r="Y978" s="223" t="str">
        <f t="shared" si="33"/>
        <v/>
      </c>
    </row>
    <row r="979" spans="1:25" s="223" customFormat="1" ht="20.25">
      <c r="A979" s="291"/>
      <c r="B979" s="292" t="str">
        <f>IF(LEN(A979)=0,"",INDEX('Smelter Reference List'!$A:$A,MATCH($A979,'Smelter Reference List'!$E:$E,0)))</f>
        <v/>
      </c>
      <c r="C979" s="298" t="str">
        <f>IF(LEN(A979)=0,"",INDEX('Smelter Reference List'!$C:$C,MATCH($A979,'Smelter Reference List'!$E:$E,0)))</f>
        <v/>
      </c>
      <c r="D979" s="292" t="str">
        <f ca="1">IF(ISERROR($S979),"",OFFSET('Smelter Reference List'!$C$4,$S979-4,0)&amp;"")</f>
        <v/>
      </c>
      <c r="E979" s="292" t="str">
        <f ca="1">IF(ISERROR($S979),"",OFFSET('Smelter Reference List'!$D$4,$S979-4,0)&amp;"")</f>
        <v/>
      </c>
      <c r="F979" s="292" t="str">
        <f ca="1">IF(ISERROR($S979),"",OFFSET('Smelter Reference List'!$E$4,$S979-4,0))</f>
        <v/>
      </c>
      <c r="G979" s="292" t="str">
        <f ca="1">IF(C979=$U$4,"Enter smelter details", IF(ISERROR($S979),"",OFFSET('Smelter Reference List'!$F$4,$S979-4,0)))</f>
        <v/>
      </c>
      <c r="H979" s="293" t="str">
        <f ca="1">IF(ISERROR($S979),"",OFFSET('Smelter Reference List'!$G$4,$S979-4,0))</f>
        <v/>
      </c>
      <c r="I979" s="294" t="str">
        <f ca="1">IF(ISERROR($S979),"",OFFSET('Smelter Reference List'!$H$4,$S979-4,0))</f>
        <v/>
      </c>
      <c r="J979" s="294" t="str">
        <f ca="1">IF(ISERROR($S979),"",OFFSET('Smelter Reference List'!$I$4,$S979-4,0))</f>
        <v/>
      </c>
      <c r="K979" s="295"/>
      <c r="L979" s="295"/>
      <c r="M979" s="295"/>
      <c r="N979" s="295"/>
      <c r="O979" s="295"/>
      <c r="P979" s="295"/>
      <c r="Q979" s="296"/>
      <c r="R979" s="227"/>
      <c r="S979" s="228" t="e">
        <f>IF(C979="",NA(),MATCH($B979&amp;$C979,'Smelter Reference List'!$J:$J,0))</f>
        <v>#N/A</v>
      </c>
      <c r="T979" s="229"/>
      <c r="U979" s="229">
        <f t="shared" ca="1" si="32"/>
        <v>0</v>
      </c>
      <c r="V979" s="229"/>
      <c r="W979" s="229"/>
      <c r="Y979" s="223" t="str">
        <f t="shared" si="33"/>
        <v/>
      </c>
    </row>
    <row r="980" spans="1:25" s="223" customFormat="1" ht="20.25">
      <c r="A980" s="291"/>
      <c r="B980" s="292" t="str">
        <f>IF(LEN(A980)=0,"",INDEX('Smelter Reference List'!$A:$A,MATCH($A980,'Smelter Reference List'!$E:$E,0)))</f>
        <v/>
      </c>
      <c r="C980" s="298" t="str">
        <f>IF(LEN(A980)=0,"",INDEX('Smelter Reference List'!$C:$C,MATCH($A980,'Smelter Reference List'!$E:$E,0)))</f>
        <v/>
      </c>
      <c r="D980" s="292" t="str">
        <f ca="1">IF(ISERROR($S980),"",OFFSET('Smelter Reference List'!$C$4,$S980-4,0)&amp;"")</f>
        <v/>
      </c>
      <c r="E980" s="292" t="str">
        <f ca="1">IF(ISERROR($S980),"",OFFSET('Smelter Reference List'!$D$4,$S980-4,0)&amp;"")</f>
        <v/>
      </c>
      <c r="F980" s="292" t="str">
        <f ca="1">IF(ISERROR($S980),"",OFFSET('Smelter Reference List'!$E$4,$S980-4,0))</f>
        <v/>
      </c>
      <c r="G980" s="292" t="str">
        <f ca="1">IF(C980=$U$4,"Enter smelter details", IF(ISERROR($S980),"",OFFSET('Smelter Reference List'!$F$4,$S980-4,0)))</f>
        <v/>
      </c>
      <c r="H980" s="293" t="str">
        <f ca="1">IF(ISERROR($S980),"",OFFSET('Smelter Reference List'!$G$4,$S980-4,0))</f>
        <v/>
      </c>
      <c r="I980" s="294" t="str">
        <f ca="1">IF(ISERROR($S980),"",OFFSET('Smelter Reference List'!$H$4,$S980-4,0))</f>
        <v/>
      </c>
      <c r="J980" s="294" t="str">
        <f ca="1">IF(ISERROR($S980),"",OFFSET('Smelter Reference List'!$I$4,$S980-4,0))</f>
        <v/>
      </c>
      <c r="K980" s="295"/>
      <c r="L980" s="295"/>
      <c r="M980" s="295"/>
      <c r="N980" s="295"/>
      <c r="O980" s="295"/>
      <c r="P980" s="295"/>
      <c r="Q980" s="296"/>
      <c r="R980" s="227"/>
      <c r="S980" s="228" t="e">
        <f>IF(C980="",NA(),MATCH($B980&amp;$C980,'Smelter Reference List'!$J:$J,0))</f>
        <v>#N/A</v>
      </c>
      <c r="T980" s="229"/>
      <c r="U980" s="229">
        <f t="shared" ca="1" si="32"/>
        <v>0</v>
      </c>
      <c r="V980" s="229"/>
      <c r="W980" s="229"/>
      <c r="Y980" s="223" t="str">
        <f t="shared" si="33"/>
        <v/>
      </c>
    </row>
    <row r="981" spans="1:25" s="223" customFormat="1" ht="20.25">
      <c r="A981" s="291"/>
      <c r="B981" s="292" t="str">
        <f>IF(LEN(A981)=0,"",INDEX('Smelter Reference List'!$A:$A,MATCH($A981,'Smelter Reference List'!$E:$E,0)))</f>
        <v/>
      </c>
      <c r="C981" s="298" t="str">
        <f>IF(LEN(A981)=0,"",INDEX('Smelter Reference List'!$C:$C,MATCH($A981,'Smelter Reference List'!$E:$E,0)))</f>
        <v/>
      </c>
      <c r="D981" s="292" t="str">
        <f ca="1">IF(ISERROR($S981),"",OFFSET('Smelter Reference List'!$C$4,$S981-4,0)&amp;"")</f>
        <v/>
      </c>
      <c r="E981" s="292" t="str">
        <f ca="1">IF(ISERROR($S981),"",OFFSET('Smelter Reference List'!$D$4,$S981-4,0)&amp;"")</f>
        <v/>
      </c>
      <c r="F981" s="292" t="str">
        <f ca="1">IF(ISERROR($S981),"",OFFSET('Smelter Reference List'!$E$4,$S981-4,0))</f>
        <v/>
      </c>
      <c r="G981" s="292" t="str">
        <f ca="1">IF(C981=$U$4,"Enter smelter details", IF(ISERROR($S981),"",OFFSET('Smelter Reference List'!$F$4,$S981-4,0)))</f>
        <v/>
      </c>
      <c r="H981" s="293" t="str">
        <f ca="1">IF(ISERROR($S981),"",OFFSET('Smelter Reference List'!$G$4,$S981-4,0))</f>
        <v/>
      </c>
      <c r="I981" s="294" t="str">
        <f ca="1">IF(ISERROR($S981),"",OFFSET('Smelter Reference List'!$H$4,$S981-4,0))</f>
        <v/>
      </c>
      <c r="J981" s="294" t="str">
        <f ca="1">IF(ISERROR($S981),"",OFFSET('Smelter Reference List'!$I$4,$S981-4,0))</f>
        <v/>
      </c>
      <c r="K981" s="295"/>
      <c r="L981" s="295"/>
      <c r="M981" s="295"/>
      <c r="N981" s="295"/>
      <c r="O981" s="295"/>
      <c r="P981" s="295"/>
      <c r="Q981" s="296"/>
      <c r="R981" s="227"/>
      <c r="S981" s="228" t="e">
        <f>IF(C981="",NA(),MATCH($B981&amp;$C981,'Smelter Reference List'!$J:$J,0))</f>
        <v>#N/A</v>
      </c>
      <c r="T981" s="229"/>
      <c r="U981" s="229">
        <f t="shared" ca="1" si="32"/>
        <v>0</v>
      </c>
      <c r="V981" s="229"/>
      <c r="W981" s="229"/>
      <c r="Y981" s="223" t="str">
        <f t="shared" si="33"/>
        <v/>
      </c>
    </row>
    <row r="982" spans="1:25" s="223" customFormat="1" ht="20.25">
      <c r="A982" s="291"/>
      <c r="B982" s="292" t="str">
        <f>IF(LEN(A982)=0,"",INDEX('Smelter Reference List'!$A:$A,MATCH($A982,'Smelter Reference List'!$E:$E,0)))</f>
        <v/>
      </c>
      <c r="C982" s="298" t="str">
        <f>IF(LEN(A982)=0,"",INDEX('Smelter Reference List'!$C:$C,MATCH($A982,'Smelter Reference List'!$E:$E,0)))</f>
        <v/>
      </c>
      <c r="D982" s="292" t="str">
        <f ca="1">IF(ISERROR($S982),"",OFFSET('Smelter Reference List'!$C$4,$S982-4,0)&amp;"")</f>
        <v/>
      </c>
      <c r="E982" s="292" t="str">
        <f ca="1">IF(ISERROR($S982),"",OFFSET('Smelter Reference List'!$D$4,$S982-4,0)&amp;"")</f>
        <v/>
      </c>
      <c r="F982" s="292" t="str">
        <f ca="1">IF(ISERROR($S982),"",OFFSET('Smelter Reference List'!$E$4,$S982-4,0))</f>
        <v/>
      </c>
      <c r="G982" s="292" t="str">
        <f ca="1">IF(C982=$U$4,"Enter smelter details", IF(ISERROR($S982),"",OFFSET('Smelter Reference List'!$F$4,$S982-4,0)))</f>
        <v/>
      </c>
      <c r="H982" s="293" t="str">
        <f ca="1">IF(ISERROR($S982),"",OFFSET('Smelter Reference List'!$G$4,$S982-4,0))</f>
        <v/>
      </c>
      <c r="I982" s="294" t="str">
        <f ca="1">IF(ISERROR($S982),"",OFFSET('Smelter Reference List'!$H$4,$S982-4,0))</f>
        <v/>
      </c>
      <c r="J982" s="294" t="str">
        <f ca="1">IF(ISERROR($S982),"",OFFSET('Smelter Reference List'!$I$4,$S982-4,0))</f>
        <v/>
      </c>
      <c r="K982" s="295"/>
      <c r="L982" s="295"/>
      <c r="M982" s="295"/>
      <c r="N982" s="295"/>
      <c r="O982" s="295"/>
      <c r="P982" s="295"/>
      <c r="Q982" s="296"/>
      <c r="R982" s="227"/>
      <c r="S982" s="228" t="e">
        <f>IF(C982="",NA(),MATCH($B982&amp;$C982,'Smelter Reference List'!$J:$J,0))</f>
        <v>#N/A</v>
      </c>
      <c r="T982" s="229"/>
      <c r="U982" s="229">
        <f t="shared" ca="1" si="32"/>
        <v>0</v>
      </c>
      <c r="V982" s="229"/>
      <c r="W982" s="229"/>
      <c r="Y982" s="223" t="str">
        <f t="shared" si="33"/>
        <v/>
      </c>
    </row>
    <row r="983" spans="1:25" s="223" customFormat="1" ht="20.25">
      <c r="A983" s="291"/>
      <c r="B983" s="292" t="str">
        <f>IF(LEN(A983)=0,"",INDEX('Smelter Reference List'!$A:$A,MATCH($A983,'Smelter Reference List'!$E:$E,0)))</f>
        <v/>
      </c>
      <c r="C983" s="298" t="str">
        <f>IF(LEN(A983)=0,"",INDEX('Smelter Reference List'!$C:$C,MATCH($A983,'Smelter Reference List'!$E:$E,0)))</f>
        <v/>
      </c>
      <c r="D983" s="292" t="str">
        <f ca="1">IF(ISERROR($S983),"",OFFSET('Smelter Reference List'!$C$4,$S983-4,0)&amp;"")</f>
        <v/>
      </c>
      <c r="E983" s="292" t="str">
        <f ca="1">IF(ISERROR($S983),"",OFFSET('Smelter Reference List'!$D$4,$S983-4,0)&amp;"")</f>
        <v/>
      </c>
      <c r="F983" s="292" t="str">
        <f ca="1">IF(ISERROR($S983),"",OFFSET('Smelter Reference List'!$E$4,$S983-4,0))</f>
        <v/>
      </c>
      <c r="G983" s="292" t="str">
        <f ca="1">IF(C983=$U$4,"Enter smelter details", IF(ISERROR($S983),"",OFFSET('Smelter Reference List'!$F$4,$S983-4,0)))</f>
        <v/>
      </c>
      <c r="H983" s="293" t="str">
        <f ca="1">IF(ISERROR($S983),"",OFFSET('Smelter Reference List'!$G$4,$S983-4,0))</f>
        <v/>
      </c>
      <c r="I983" s="294" t="str">
        <f ca="1">IF(ISERROR($S983),"",OFFSET('Smelter Reference List'!$H$4,$S983-4,0))</f>
        <v/>
      </c>
      <c r="J983" s="294" t="str">
        <f ca="1">IF(ISERROR($S983),"",OFFSET('Smelter Reference List'!$I$4,$S983-4,0))</f>
        <v/>
      </c>
      <c r="K983" s="295"/>
      <c r="L983" s="295"/>
      <c r="M983" s="295"/>
      <c r="N983" s="295"/>
      <c r="O983" s="295"/>
      <c r="P983" s="295"/>
      <c r="Q983" s="296"/>
      <c r="R983" s="227"/>
      <c r="S983" s="228" t="e">
        <f>IF(C983="",NA(),MATCH($B983&amp;$C983,'Smelter Reference List'!$J:$J,0))</f>
        <v>#N/A</v>
      </c>
      <c r="T983" s="229"/>
      <c r="U983" s="229">
        <f t="shared" ca="1" si="32"/>
        <v>0</v>
      </c>
      <c r="V983" s="229"/>
      <c r="W983" s="229"/>
      <c r="Y983" s="223" t="str">
        <f t="shared" si="33"/>
        <v/>
      </c>
    </row>
    <row r="984" spans="1:25" s="223" customFormat="1" ht="20.25">
      <c r="A984" s="291"/>
      <c r="B984" s="292" t="str">
        <f>IF(LEN(A984)=0,"",INDEX('Smelter Reference List'!$A:$A,MATCH($A984,'Smelter Reference List'!$E:$E,0)))</f>
        <v/>
      </c>
      <c r="C984" s="298" t="str">
        <f>IF(LEN(A984)=0,"",INDEX('Smelter Reference List'!$C:$C,MATCH($A984,'Smelter Reference List'!$E:$E,0)))</f>
        <v/>
      </c>
      <c r="D984" s="292" t="str">
        <f ca="1">IF(ISERROR($S984),"",OFFSET('Smelter Reference List'!$C$4,$S984-4,0)&amp;"")</f>
        <v/>
      </c>
      <c r="E984" s="292" t="str">
        <f ca="1">IF(ISERROR($S984),"",OFFSET('Smelter Reference List'!$D$4,$S984-4,0)&amp;"")</f>
        <v/>
      </c>
      <c r="F984" s="292" t="str">
        <f ca="1">IF(ISERROR($S984),"",OFFSET('Smelter Reference List'!$E$4,$S984-4,0))</f>
        <v/>
      </c>
      <c r="G984" s="292" t="str">
        <f ca="1">IF(C984=$U$4,"Enter smelter details", IF(ISERROR($S984),"",OFFSET('Smelter Reference List'!$F$4,$S984-4,0)))</f>
        <v/>
      </c>
      <c r="H984" s="293" t="str">
        <f ca="1">IF(ISERROR($S984),"",OFFSET('Smelter Reference List'!$G$4,$S984-4,0))</f>
        <v/>
      </c>
      <c r="I984" s="294" t="str">
        <f ca="1">IF(ISERROR($S984),"",OFFSET('Smelter Reference List'!$H$4,$S984-4,0))</f>
        <v/>
      </c>
      <c r="J984" s="294" t="str">
        <f ca="1">IF(ISERROR($S984),"",OFFSET('Smelter Reference List'!$I$4,$S984-4,0))</f>
        <v/>
      </c>
      <c r="K984" s="295"/>
      <c r="L984" s="295"/>
      <c r="M984" s="295"/>
      <c r="N984" s="295"/>
      <c r="O984" s="295"/>
      <c r="P984" s="295"/>
      <c r="Q984" s="296"/>
      <c r="R984" s="227"/>
      <c r="S984" s="228" t="e">
        <f>IF(C984="",NA(),MATCH($B984&amp;$C984,'Smelter Reference List'!$J:$J,0))</f>
        <v>#N/A</v>
      </c>
      <c r="T984" s="229"/>
      <c r="U984" s="229">
        <f t="shared" ca="1" si="32"/>
        <v>0</v>
      </c>
      <c r="V984" s="229"/>
      <c r="W984" s="229"/>
      <c r="Y984" s="223" t="str">
        <f t="shared" si="33"/>
        <v/>
      </c>
    </row>
    <row r="985" spans="1:25" s="223" customFormat="1" ht="20.25">
      <c r="A985" s="291"/>
      <c r="B985" s="292" t="str">
        <f>IF(LEN(A985)=0,"",INDEX('Smelter Reference List'!$A:$A,MATCH($A985,'Smelter Reference List'!$E:$E,0)))</f>
        <v/>
      </c>
      <c r="C985" s="298" t="str">
        <f>IF(LEN(A985)=0,"",INDEX('Smelter Reference List'!$C:$C,MATCH($A985,'Smelter Reference List'!$E:$E,0)))</f>
        <v/>
      </c>
      <c r="D985" s="292" t="str">
        <f ca="1">IF(ISERROR($S985),"",OFFSET('Smelter Reference List'!$C$4,$S985-4,0)&amp;"")</f>
        <v/>
      </c>
      <c r="E985" s="292" t="str">
        <f ca="1">IF(ISERROR($S985),"",OFFSET('Smelter Reference List'!$D$4,$S985-4,0)&amp;"")</f>
        <v/>
      </c>
      <c r="F985" s="292" t="str">
        <f ca="1">IF(ISERROR($S985),"",OFFSET('Smelter Reference List'!$E$4,$S985-4,0))</f>
        <v/>
      </c>
      <c r="G985" s="292" t="str">
        <f ca="1">IF(C985=$U$4,"Enter smelter details", IF(ISERROR($S985),"",OFFSET('Smelter Reference List'!$F$4,$S985-4,0)))</f>
        <v/>
      </c>
      <c r="H985" s="293" t="str">
        <f ca="1">IF(ISERROR($S985),"",OFFSET('Smelter Reference List'!$G$4,$S985-4,0))</f>
        <v/>
      </c>
      <c r="I985" s="294" t="str">
        <f ca="1">IF(ISERROR($S985),"",OFFSET('Smelter Reference List'!$H$4,$S985-4,0))</f>
        <v/>
      </c>
      <c r="J985" s="294" t="str">
        <f ca="1">IF(ISERROR($S985),"",OFFSET('Smelter Reference List'!$I$4,$S985-4,0))</f>
        <v/>
      </c>
      <c r="K985" s="295"/>
      <c r="L985" s="295"/>
      <c r="M985" s="295"/>
      <c r="N985" s="295"/>
      <c r="O985" s="295"/>
      <c r="P985" s="295"/>
      <c r="Q985" s="296"/>
      <c r="R985" s="227"/>
      <c r="S985" s="228" t="e">
        <f>IF(C985="",NA(),MATCH($B985&amp;$C985,'Smelter Reference List'!$J:$J,0))</f>
        <v>#N/A</v>
      </c>
      <c r="T985" s="229"/>
      <c r="U985" s="229">
        <f t="shared" ca="1" si="32"/>
        <v>0</v>
      </c>
      <c r="V985" s="229"/>
      <c r="W985" s="229"/>
      <c r="Y985" s="223" t="str">
        <f t="shared" si="33"/>
        <v/>
      </c>
    </row>
    <row r="986" spans="1:25" s="223" customFormat="1" ht="20.25">
      <c r="A986" s="291"/>
      <c r="B986" s="292" t="str">
        <f>IF(LEN(A986)=0,"",INDEX('Smelter Reference List'!$A:$A,MATCH($A986,'Smelter Reference List'!$E:$E,0)))</f>
        <v/>
      </c>
      <c r="C986" s="298" t="str">
        <f>IF(LEN(A986)=0,"",INDEX('Smelter Reference List'!$C:$C,MATCH($A986,'Smelter Reference List'!$E:$E,0)))</f>
        <v/>
      </c>
      <c r="D986" s="292" t="str">
        <f ca="1">IF(ISERROR($S986),"",OFFSET('Smelter Reference List'!$C$4,$S986-4,0)&amp;"")</f>
        <v/>
      </c>
      <c r="E986" s="292" t="str">
        <f ca="1">IF(ISERROR($S986),"",OFFSET('Smelter Reference List'!$D$4,$S986-4,0)&amp;"")</f>
        <v/>
      </c>
      <c r="F986" s="292" t="str">
        <f ca="1">IF(ISERROR($S986),"",OFFSET('Smelter Reference List'!$E$4,$S986-4,0))</f>
        <v/>
      </c>
      <c r="G986" s="292" t="str">
        <f ca="1">IF(C986=$U$4,"Enter smelter details", IF(ISERROR($S986),"",OFFSET('Smelter Reference List'!$F$4,$S986-4,0)))</f>
        <v/>
      </c>
      <c r="H986" s="293" t="str">
        <f ca="1">IF(ISERROR($S986),"",OFFSET('Smelter Reference List'!$G$4,$S986-4,0))</f>
        <v/>
      </c>
      <c r="I986" s="294" t="str">
        <f ca="1">IF(ISERROR($S986),"",OFFSET('Smelter Reference List'!$H$4,$S986-4,0))</f>
        <v/>
      </c>
      <c r="J986" s="294" t="str">
        <f ca="1">IF(ISERROR($S986),"",OFFSET('Smelter Reference List'!$I$4,$S986-4,0))</f>
        <v/>
      </c>
      <c r="K986" s="295"/>
      <c r="L986" s="295"/>
      <c r="M986" s="295"/>
      <c r="N986" s="295"/>
      <c r="O986" s="295"/>
      <c r="P986" s="295"/>
      <c r="Q986" s="296"/>
      <c r="R986" s="227"/>
      <c r="S986" s="228" t="e">
        <f>IF(C986="",NA(),MATCH($B986&amp;$C986,'Smelter Reference List'!$J:$J,0))</f>
        <v>#N/A</v>
      </c>
      <c r="T986" s="229"/>
      <c r="U986" s="229">
        <f t="shared" ca="1" si="32"/>
        <v>0</v>
      </c>
      <c r="V986" s="229"/>
      <c r="W986" s="229"/>
      <c r="Y986" s="223" t="str">
        <f t="shared" si="33"/>
        <v/>
      </c>
    </row>
    <row r="987" spans="1:25" s="223" customFormat="1" ht="20.25">
      <c r="A987" s="291"/>
      <c r="B987" s="292" t="str">
        <f>IF(LEN(A987)=0,"",INDEX('Smelter Reference List'!$A:$A,MATCH($A987,'Smelter Reference List'!$E:$E,0)))</f>
        <v/>
      </c>
      <c r="C987" s="298" t="str">
        <f>IF(LEN(A987)=0,"",INDEX('Smelter Reference List'!$C:$C,MATCH($A987,'Smelter Reference List'!$E:$E,0)))</f>
        <v/>
      </c>
      <c r="D987" s="292" t="str">
        <f ca="1">IF(ISERROR($S987),"",OFFSET('Smelter Reference List'!$C$4,$S987-4,0)&amp;"")</f>
        <v/>
      </c>
      <c r="E987" s="292" t="str">
        <f ca="1">IF(ISERROR($S987),"",OFFSET('Smelter Reference List'!$D$4,$S987-4,0)&amp;"")</f>
        <v/>
      </c>
      <c r="F987" s="292" t="str">
        <f ca="1">IF(ISERROR($S987),"",OFFSET('Smelter Reference List'!$E$4,$S987-4,0))</f>
        <v/>
      </c>
      <c r="G987" s="292" t="str">
        <f ca="1">IF(C987=$U$4,"Enter smelter details", IF(ISERROR($S987),"",OFFSET('Smelter Reference List'!$F$4,$S987-4,0)))</f>
        <v/>
      </c>
      <c r="H987" s="293" t="str">
        <f ca="1">IF(ISERROR($S987),"",OFFSET('Smelter Reference List'!$G$4,$S987-4,0))</f>
        <v/>
      </c>
      <c r="I987" s="294" t="str">
        <f ca="1">IF(ISERROR($S987),"",OFFSET('Smelter Reference List'!$H$4,$S987-4,0))</f>
        <v/>
      </c>
      <c r="J987" s="294" t="str">
        <f ca="1">IF(ISERROR($S987),"",OFFSET('Smelter Reference List'!$I$4,$S987-4,0))</f>
        <v/>
      </c>
      <c r="K987" s="295"/>
      <c r="L987" s="295"/>
      <c r="M987" s="295"/>
      <c r="N987" s="295"/>
      <c r="O987" s="295"/>
      <c r="P987" s="295"/>
      <c r="Q987" s="296"/>
      <c r="R987" s="227"/>
      <c r="S987" s="228" t="e">
        <f>IF(C987="",NA(),MATCH($B987&amp;$C987,'Smelter Reference List'!$J:$J,0))</f>
        <v>#N/A</v>
      </c>
      <c r="T987" s="229"/>
      <c r="U987" s="229">
        <f t="shared" ca="1" si="32"/>
        <v>0</v>
      </c>
      <c r="V987" s="229"/>
      <c r="W987" s="229"/>
      <c r="Y987" s="223" t="str">
        <f t="shared" si="33"/>
        <v/>
      </c>
    </row>
    <row r="988" spans="1:25" s="223" customFormat="1" ht="20.25">
      <c r="A988" s="291"/>
      <c r="B988" s="292" t="str">
        <f>IF(LEN(A988)=0,"",INDEX('Smelter Reference List'!$A:$A,MATCH($A988,'Smelter Reference List'!$E:$E,0)))</f>
        <v/>
      </c>
      <c r="C988" s="298" t="str">
        <f>IF(LEN(A988)=0,"",INDEX('Smelter Reference List'!$C:$C,MATCH($A988,'Smelter Reference List'!$E:$E,0)))</f>
        <v/>
      </c>
      <c r="D988" s="292" t="str">
        <f ca="1">IF(ISERROR($S988),"",OFFSET('Smelter Reference List'!$C$4,$S988-4,0)&amp;"")</f>
        <v/>
      </c>
      <c r="E988" s="292" t="str">
        <f ca="1">IF(ISERROR($S988),"",OFFSET('Smelter Reference List'!$D$4,$S988-4,0)&amp;"")</f>
        <v/>
      </c>
      <c r="F988" s="292" t="str">
        <f ca="1">IF(ISERROR($S988),"",OFFSET('Smelter Reference List'!$E$4,$S988-4,0))</f>
        <v/>
      </c>
      <c r="G988" s="292" t="str">
        <f ca="1">IF(C988=$U$4,"Enter smelter details", IF(ISERROR($S988),"",OFFSET('Smelter Reference List'!$F$4,$S988-4,0)))</f>
        <v/>
      </c>
      <c r="H988" s="293" t="str">
        <f ca="1">IF(ISERROR($S988),"",OFFSET('Smelter Reference List'!$G$4,$S988-4,0))</f>
        <v/>
      </c>
      <c r="I988" s="294" t="str">
        <f ca="1">IF(ISERROR($S988),"",OFFSET('Smelter Reference List'!$H$4,$S988-4,0))</f>
        <v/>
      </c>
      <c r="J988" s="294" t="str">
        <f ca="1">IF(ISERROR($S988),"",OFFSET('Smelter Reference List'!$I$4,$S988-4,0))</f>
        <v/>
      </c>
      <c r="K988" s="295"/>
      <c r="L988" s="295"/>
      <c r="M988" s="295"/>
      <c r="N988" s="295"/>
      <c r="O988" s="295"/>
      <c r="P988" s="295"/>
      <c r="Q988" s="296"/>
      <c r="R988" s="227"/>
      <c r="S988" s="228" t="e">
        <f>IF(C988="",NA(),MATCH($B988&amp;$C988,'Smelter Reference List'!$J:$J,0))</f>
        <v>#N/A</v>
      </c>
      <c r="T988" s="229"/>
      <c r="U988" s="229">
        <f t="shared" ca="1" si="32"/>
        <v>0</v>
      </c>
      <c r="V988" s="229"/>
      <c r="W988" s="229"/>
      <c r="Y988" s="223" t="str">
        <f t="shared" si="33"/>
        <v/>
      </c>
    </row>
    <row r="989" spans="1:25" s="223" customFormat="1" ht="20.25">
      <c r="A989" s="291"/>
      <c r="B989" s="292" t="str">
        <f>IF(LEN(A989)=0,"",INDEX('Smelter Reference List'!$A:$A,MATCH($A989,'Smelter Reference List'!$E:$E,0)))</f>
        <v/>
      </c>
      <c r="C989" s="298" t="str">
        <f>IF(LEN(A989)=0,"",INDEX('Smelter Reference List'!$C:$C,MATCH($A989,'Smelter Reference List'!$E:$E,0)))</f>
        <v/>
      </c>
      <c r="D989" s="292" t="str">
        <f ca="1">IF(ISERROR($S989),"",OFFSET('Smelter Reference List'!$C$4,$S989-4,0)&amp;"")</f>
        <v/>
      </c>
      <c r="E989" s="292" t="str">
        <f ca="1">IF(ISERROR($S989),"",OFFSET('Smelter Reference List'!$D$4,$S989-4,0)&amp;"")</f>
        <v/>
      </c>
      <c r="F989" s="292" t="str">
        <f ca="1">IF(ISERROR($S989),"",OFFSET('Smelter Reference List'!$E$4,$S989-4,0))</f>
        <v/>
      </c>
      <c r="G989" s="292" t="str">
        <f ca="1">IF(C989=$U$4,"Enter smelter details", IF(ISERROR($S989),"",OFFSET('Smelter Reference List'!$F$4,$S989-4,0)))</f>
        <v/>
      </c>
      <c r="H989" s="293" t="str">
        <f ca="1">IF(ISERROR($S989),"",OFFSET('Smelter Reference List'!$G$4,$S989-4,0))</f>
        <v/>
      </c>
      <c r="I989" s="294" t="str">
        <f ca="1">IF(ISERROR($S989),"",OFFSET('Smelter Reference List'!$H$4,$S989-4,0))</f>
        <v/>
      </c>
      <c r="J989" s="294" t="str">
        <f ca="1">IF(ISERROR($S989),"",OFFSET('Smelter Reference List'!$I$4,$S989-4,0))</f>
        <v/>
      </c>
      <c r="K989" s="295"/>
      <c r="L989" s="295"/>
      <c r="M989" s="295"/>
      <c r="N989" s="295"/>
      <c r="O989" s="295"/>
      <c r="P989" s="295"/>
      <c r="Q989" s="296"/>
      <c r="R989" s="227"/>
      <c r="S989" s="228" t="e">
        <f>IF(C989="",NA(),MATCH($B989&amp;$C989,'Smelter Reference List'!$J:$J,0))</f>
        <v>#N/A</v>
      </c>
      <c r="T989" s="229"/>
      <c r="U989" s="229">
        <f t="shared" ca="1" si="32"/>
        <v>0</v>
      </c>
      <c r="V989" s="229"/>
      <c r="W989" s="229"/>
      <c r="Y989" s="223" t="str">
        <f t="shared" si="33"/>
        <v/>
      </c>
    </row>
    <row r="990" spans="1:25" s="223" customFormat="1" ht="20.25">
      <c r="A990" s="291"/>
      <c r="B990" s="292" t="str">
        <f>IF(LEN(A990)=0,"",INDEX('Smelter Reference List'!$A:$A,MATCH($A990,'Smelter Reference List'!$E:$E,0)))</f>
        <v/>
      </c>
      <c r="C990" s="298" t="str">
        <f>IF(LEN(A990)=0,"",INDEX('Smelter Reference List'!$C:$C,MATCH($A990,'Smelter Reference List'!$E:$E,0)))</f>
        <v/>
      </c>
      <c r="D990" s="292" t="str">
        <f ca="1">IF(ISERROR($S990),"",OFFSET('Smelter Reference List'!$C$4,$S990-4,0)&amp;"")</f>
        <v/>
      </c>
      <c r="E990" s="292" t="str">
        <f ca="1">IF(ISERROR($S990),"",OFFSET('Smelter Reference List'!$D$4,$S990-4,0)&amp;"")</f>
        <v/>
      </c>
      <c r="F990" s="292" t="str">
        <f ca="1">IF(ISERROR($S990),"",OFFSET('Smelter Reference List'!$E$4,$S990-4,0))</f>
        <v/>
      </c>
      <c r="G990" s="292" t="str">
        <f ca="1">IF(C990=$U$4,"Enter smelter details", IF(ISERROR($S990),"",OFFSET('Smelter Reference List'!$F$4,$S990-4,0)))</f>
        <v/>
      </c>
      <c r="H990" s="293" t="str">
        <f ca="1">IF(ISERROR($S990),"",OFFSET('Smelter Reference List'!$G$4,$S990-4,0))</f>
        <v/>
      </c>
      <c r="I990" s="294" t="str">
        <f ca="1">IF(ISERROR($S990),"",OFFSET('Smelter Reference List'!$H$4,$S990-4,0))</f>
        <v/>
      </c>
      <c r="J990" s="294" t="str">
        <f ca="1">IF(ISERROR($S990),"",OFFSET('Smelter Reference List'!$I$4,$S990-4,0))</f>
        <v/>
      </c>
      <c r="K990" s="295"/>
      <c r="L990" s="295"/>
      <c r="M990" s="295"/>
      <c r="N990" s="295"/>
      <c r="O990" s="295"/>
      <c r="P990" s="295"/>
      <c r="Q990" s="296"/>
      <c r="R990" s="227"/>
      <c r="S990" s="228" t="e">
        <f>IF(C990="",NA(),MATCH($B990&amp;$C990,'Smelter Reference List'!$J:$J,0))</f>
        <v>#N/A</v>
      </c>
      <c r="T990" s="229"/>
      <c r="U990" s="229">
        <f t="shared" ca="1" si="32"/>
        <v>0</v>
      </c>
      <c r="V990" s="229"/>
      <c r="W990" s="229"/>
      <c r="Y990" s="223" t="str">
        <f t="shared" si="33"/>
        <v/>
      </c>
    </row>
    <row r="991" spans="1:25" s="223" customFormat="1" ht="20.25">
      <c r="A991" s="291"/>
      <c r="B991" s="292" t="str">
        <f>IF(LEN(A991)=0,"",INDEX('Smelter Reference List'!$A:$A,MATCH($A991,'Smelter Reference List'!$E:$E,0)))</f>
        <v/>
      </c>
      <c r="C991" s="298" t="str">
        <f>IF(LEN(A991)=0,"",INDEX('Smelter Reference List'!$C:$C,MATCH($A991,'Smelter Reference List'!$E:$E,0)))</f>
        <v/>
      </c>
      <c r="D991" s="292" t="str">
        <f ca="1">IF(ISERROR($S991),"",OFFSET('Smelter Reference List'!$C$4,$S991-4,0)&amp;"")</f>
        <v/>
      </c>
      <c r="E991" s="292" t="str">
        <f ca="1">IF(ISERROR($S991),"",OFFSET('Smelter Reference List'!$D$4,$S991-4,0)&amp;"")</f>
        <v/>
      </c>
      <c r="F991" s="292" t="str">
        <f ca="1">IF(ISERROR($S991),"",OFFSET('Smelter Reference List'!$E$4,$S991-4,0))</f>
        <v/>
      </c>
      <c r="G991" s="292" t="str">
        <f ca="1">IF(C991=$U$4,"Enter smelter details", IF(ISERROR($S991),"",OFFSET('Smelter Reference List'!$F$4,$S991-4,0)))</f>
        <v/>
      </c>
      <c r="H991" s="293" t="str">
        <f ca="1">IF(ISERROR($S991),"",OFFSET('Smelter Reference List'!$G$4,$S991-4,0))</f>
        <v/>
      </c>
      <c r="I991" s="294" t="str">
        <f ca="1">IF(ISERROR($S991),"",OFFSET('Smelter Reference List'!$H$4,$S991-4,0))</f>
        <v/>
      </c>
      <c r="J991" s="294" t="str">
        <f ca="1">IF(ISERROR($S991),"",OFFSET('Smelter Reference List'!$I$4,$S991-4,0))</f>
        <v/>
      </c>
      <c r="K991" s="295"/>
      <c r="L991" s="295"/>
      <c r="M991" s="295"/>
      <c r="N991" s="295"/>
      <c r="O991" s="295"/>
      <c r="P991" s="295"/>
      <c r="Q991" s="296"/>
      <c r="R991" s="227"/>
      <c r="S991" s="228" t="e">
        <f>IF(C991="",NA(),MATCH($B991&amp;$C991,'Smelter Reference List'!$J:$J,0))</f>
        <v>#N/A</v>
      </c>
      <c r="T991" s="229"/>
      <c r="U991" s="229">
        <f t="shared" ca="1" si="32"/>
        <v>0</v>
      </c>
      <c r="V991" s="229"/>
      <c r="W991" s="229"/>
      <c r="Y991" s="223" t="str">
        <f t="shared" si="33"/>
        <v/>
      </c>
    </row>
    <row r="992" spans="1:25" s="223" customFormat="1" ht="20.25">
      <c r="A992" s="291"/>
      <c r="B992" s="292" t="str">
        <f>IF(LEN(A992)=0,"",INDEX('Smelter Reference List'!$A:$A,MATCH($A992,'Smelter Reference List'!$E:$E,0)))</f>
        <v/>
      </c>
      <c r="C992" s="298" t="str">
        <f>IF(LEN(A992)=0,"",INDEX('Smelter Reference List'!$C:$C,MATCH($A992,'Smelter Reference List'!$E:$E,0)))</f>
        <v/>
      </c>
      <c r="D992" s="292" t="str">
        <f ca="1">IF(ISERROR($S992),"",OFFSET('Smelter Reference List'!$C$4,$S992-4,0)&amp;"")</f>
        <v/>
      </c>
      <c r="E992" s="292" t="str">
        <f ca="1">IF(ISERROR($S992),"",OFFSET('Smelter Reference List'!$D$4,$S992-4,0)&amp;"")</f>
        <v/>
      </c>
      <c r="F992" s="292" t="str">
        <f ca="1">IF(ISERROR($S992),"",OFFSET('Smelter Reference List'!$E$4,$S992-4,0))</f>
        <v/>
      </c>
      <c r="G992" s="292" t="str">
        <f ca="1">IF(C992=$U$4,"Enter smelter details", IF(ISERROR($S992),"",OFFSET('Smelter Reference List'!$F$4,$S992-4,0)))</f>
        <v/>
      </c>
      <c r="H992" s="293" t="str">
        <f ca="1">IF(ISERROR($S992),"",OFFSET('Smelter Reference List'!$G$4,$S992-4,0))</f>
        <v/>
      </c>
      <c r="I992" s="294" t="str">
        <f ca="1">IF(ISERROR($S992),"",OFFSET('Smelter Reference List'!$H$4,$S992-4,0))</f>
        <v/>
      </c>
      <c r="J992" s="294" t="str">
        <f ca="1">IF(ISERROR($S992),"",OFFSET('Smelter Reference List'!$I$4,$S992-4,0))</f>
        <v/>
      </c>
      <c r="K992" s="295"/>
      <c r="L992" s="295"/>
      <c r="M992" s="295"/>
      <c r="N992" s="295"/>
      <c r="O992" s="295"/>
      <c r="P992" s="295"/>
      <c r="Q992" s="296"/>
      <c r="R992" s="227"/>
      <c r="S992" s="228" t="e">
        <f>IF(C992="",NA(),MATCH($B992&amp;$C992,'Smelter Reference List'!$J:$J,0))</f>
        <v>#N/A</v>
      </c>
      <c r="T992" s="229"/>
      <c r="U992" s="229">
        <f t="shared" ca="1" si="32"/>
        <v>0</v>
      </c>
      <c r="V992" s="229"/>
      <c r="W992" s="229"/>
      <c r="Y992" s="223" t="str">
        <f t="shared" si="33"/>
        <v/>
      </c>
    </row>
    <row r="993" spans="1:25" s="223" customFormat="1" ht="20.25">
      <c r="A993" s="291"/>
      <c r="B993" s="292" t="str">
        <f>IF(LEN(A993)=0,"",INDEX('Smelter Reference List'!$A:$A,MATCH($A993,'Smelter Reference List'!$E:$E,0)))</f>
        <v/>
      </c>
      <c r="C993" s="298" t="str">
        <f>IF(LEN(A993)=0,"",INDEX('Smelter Reference List'!$C:$C,MATCH($A993,'Smelter Reference List'!$E:$E,0)))</f>
        <v/>
      </c>
      <c r="D993" s="292" t="str">
        <f ca="1">IF(ISERROR($S993),"",OFFSET('Smelter Reference List'!$C$4,$S993-4,0)&amp;"")</f>
        <v/>
      </c>
      <c r="E993" s="292" t="str">
        <f ca="1">IF(ISERROR($S993),"",OFFSET('Smelter Reference List'!$D$4,$S993-4,0)&amp;"")</f>
        <v/>
      </c>
      <c r="F993" s="292" t="str">
        <f ca="1">IF(ISERROR($S993),"",OFFSET('Smelter Reference List'!$E$4,$S993-4,0))</f>
        <v/>
      </c>
      <c r="G993" s="292" t="str">
        <f ca="1">IF(C993=$U$4,"Enter smelter details", IF(ISERROR($S993),"",OFFSET('Smelter Reference List'!$F$4,$S993-4,0)))</f>
        <v/>
      </c>
      <c r="H993" s="293" t="str">
        <f ca="1">IF(ISERROR($S993),"",OFFSET('Smelter Reference List'!$G$4,$S993-4,0))</f>
        <v/>
      </c>
      <c r="I993" s="294" t="str">
        <f ca="1">IF(ISERROR($S993),"",OFFSET('Smelter Reference List'!$H$4,$S993-4,0))</f>
        <v/>
      </c>
      <c r="J993" s="294" t="str">
        <f ca="1">IF(ISERROR($S993),"",OFFSET('Smelter Reference List'!$I$4,$S993-4,0))</f>
        <v/>
      </c>
      <c r="K993" s="295"/>
      <c r="L993" s="295"/>
      <c r="M993" s="295"/>
      <c r="N993" s="295"/>
      <c r="O993" s="295"/>
      <c r="P993" s="295"/>
      <c r="Q993" s="296"/>
      <c r="R993" s="227"/>
      <c r="S993" s="228" t="e">
        <f>IF(C993="",NA(),MATCH($B993&amp;$C993,'Smelter Reference List'!$J:$J,0))</f>
        <v>#N/A</v>
      </c>
      <c r="T993" s="229"/>
      <c r="U993" s="229">
        <f t="shared" ca="1" si="32"/>
        <v>0</v>
      </c>
      <c r="V993" s="229"/>
      <c r="W993" s="229"/>
      <c r="Y993" s="223" t="str">
        <f t="shared" si="33"/>
        <v/>
      </c>
    </row>
    <row r="994" spans="1:25" s="223" customFormat="1" ht="20.25">
      <c r="A994" s="291"/>
      <c r="B994" s="292" t="str">
        <f>IF(LEN(A994)=0,"",INDEX('Smelter Reference List'!$A:$A,MATCH($A994,'Smelter Reference List'!$E:$E,0)))</f>
        <v/>
      </c>
      <c r="C994" s="298" t="str">
        <f>IF(LEN(A994)=0,"",INDEX('Smelter Reference List'!$C:$C,MATCH($A994,'Smelter Reference List'!$E:$E,0)))</f>
        <v/>
      </c>
      <c r="D994" s="292" t="str">
        <f ca="1">IF(ISERROR($S994),"",OFFSET('Smelter Reference List'!$C$4,$S994-4,0)&amp;"")</f>
        <v/>
      </c>
      <c r="E994" s="292" t="str">
        <f ca="1">IF(ISERROR($S994),"",OFFSET('Smelter Reference List'!$D$4,$S994-4,0)&amp;"")</f>
        <v/>
      </c>
      <c r="F994" s="292" t="str">
        <f ca="1">IF(ISERROR($S994),"",OFFSET('Smelter Reference List'!$E$4,$S994-4,0))</f>
        <v/>
      </c>
      <c r="G994" s="292" t="str">
        <f ca="1">IF(C994=$U$4,"Enter smelter details", IF(ISERROR($S994),"",OFFSET('Smelter Reference List'!$F$4,$S994-4,0)))</f>
        <v/>
      </c>
      <c r="H994" s="293" t="str">
        <f ca="1">IF(ISERROR($S994),"",OFFSET('Smelter Reference List'!$G$4,$S994-4,0))</f>
        <v/>
      </c>
      <c r="I994" s="294" t="str">
        <f ca="1">IF(ISERROR($S994),"",OFFSET('Smelter Reference List'!$H$4,$S994-4,0))</f>
        <v/>
      </c>
      <c r="J994" s="294" t="str">
        <f ca="1">IF(ISERROR($S994),"",OFFSET('Smelter Reference List'!$I$4,$S994-4,0))</f>
        <v/>
      </c>
      <c r="K994" s="295"/>
      <c r="L994" s="295"/>
      <c r="M994" s="295"/>
      <c r="N994" s="295"/>
      <c r="O994" s="295"/>
      <c r="P994" s="295"/>
      <c r="Q994" s="296"/>
      <c r="R994" s="227"/>
      <c r="S994" s="228" t="e">
        <f>IF(C994="",NA(),MATCH($B994&amp;$C994,'Smelter Reference List'!$J:$J,0))</f>
        <v>#N/A</v>
      </c>
      <c r="T994" s="229"/>
      <c r="U994" s="229">
        <f t="shared" ca="1" si="32"/>
        <v>0</v>
      </c>
      <c r="V994" s="229"/>
      <c r="W994" s="229"/>
      <c r="Y994" s="223" t="str">
        <f t="shared" si="33"/>
        <v/>
      </c>
    </row>
    <row r="995" spans="1:25" s="223" customFormat="1" ht="20.25">
      <c r="A995" s="291"/>
      <c r="B995" s="292" t="str">
        <f>IF(LEN(A995)=0,"",INDEX('Smelter Reference List'!$A:$A,MATCH($A995,'Smelter Reference List'!$E:$E,0)))</f>
        <v/>
      </c>
      <c r="C995" s="298" t="str">
        <f>IF(LEN(A995)=0,"",INDEX('Smelter Reference List'!$C:$C,MATCH($A995,'Smelter Reference List'!$E:$E,0)))</f>
        <v/>
      </c>
      <c r="D995" s="292" t="str">
        <f ca="1">IF(ISERROR($S995),"",OFFSET('Smelter Reference List'!$C$4,$S995-4,0)&amp;"")</f>
        <v/>
      </c>
      <c r="E995" s="292" t="str">
        <f ca="1">IF(ISERROR($S995),"",OFFSET('Smelter Reference List'!$D$4,$S995-4,0)&amp;"")</f>
        <v/>
      </c>
      <c r="F995" s="292" t="str">
        <f ca="1">IF(ISERROR($S995),"",OFFSET('Smelter Reference List'!$E$4,$S995-4,0))</f>
        <v/>
      </c>
      <c r="G995" s="292" t="str">
        <f ca="1">IF(C995=$U$4,"Enter smelter details", IF(ISERROR($S995),"",OFFSET('Smelter Reference List'!$F$4,$S995-4,0)))</f>
        <v/>
      </c>
      <c r="H995" s="293" t="str">
        <f ca="1">IF(ISERROR($S995),"",OFFSET('Smelter Reference List'!$G$4,$S995-4,0))</f>
        <v/>
      </c>
      <c r="I995" s="294" t="str">
        <f ca="1">IF(ISERROR($S995),"",OFFSET('Smelter Reference List'!$H$4,$S995-4,0))</f>
        <v/>
      </c>
      <c r="J995" s="294" t="str">
        <f ca="1">IF(ISERROR($S995),"",OFFSET('Smelter Reference List'!$I$4,$S995-4,0))</f>
        <v/>
      </c>
      <c r="K995" s="295"/>
      <c r="L995" s="295"/>
      <c r="M995" s="295"/>
      <c r="N995" s="295"/>
      <c r="O995" s="295"/>
      <c r="P995" s="295"/>
      <c r="Q995" s="296"/>
      <c r="R995" s="227"/>
      <c r="S995" s="228" t="e">
        <f>IF(C995="",NA(),MATCH($B995&amp;$C995,'Smelter Reference List'!$J:$J,0))</f>
        <v>#N/A</v>
      </c>
      <c r="T995" s="229"/>
      <c r="U995" s="229">
        <f t="shared" ca="1" si="32"/>
        <v>0</v>
      </c>
      <c r="V995" s="229"/>
      <c r="W995" s="229"/>
      <c r="Y995" s="223" t="str">
        <f t="shared" si="33"/>
        <v/>
      </c>
    </row>
    <row r="996" spans="1:25" s="223" customFormat="1" ht="20.25">
      <c r="A996" s="291"/>
      <c r="B996" s="292" t="str">
        <f>IF(LEN(A996)=0,"",INDEX('Smelter Reference List'!$A:$A,MATCH($A996,'Smelter Reference List'!$E:$E,0)))</f>
        <v/>
      </c>
      <c r="C996" s="298" t="str">
        <f>IF(LEN(A996)=0,"",INDEX('Smelter Reference List'!$C:$C,MATCH($A996,'Smelter Reference List'!$E:$E,0)))</f>
        <v/>
      </c>
      <c r="D996" s="292" t="str">
        <f ca="1">IF(ISERROR($S996),"",OFFSET('Smelter Reference List'!$C$4,$S996-4,0)&amp;"")</f>
        <v/>
      </c>
      <c r="E996" s="292" t="str">
        <f ca="1">IF(ISERROR($S996),"",OFFSET('Smelter Reference List'!$D$4,$S996-4,0)&amp;"")</f>
        <v/>
      </c>
      <c r="F996" s="292" t="str">
        <f ca="1">IF(ISERROR($S996),"",OFFSET('Smelter Reference List'!$E$4,$S996-4,0))</f>
        <v/>
      </c>
      <c r="G996" s="292" t="str">
        <f ca="1">IF(C996=$U$4,"Enter smelter details", IF(ISERROR($S996),"",OFFSET('Smelter Reference List'!$F$4,$S996-4,0)))</f>
        <v/>
      </c>
      <c r="H996" s="293" t="str">
        <f ca="1">IF(ISERROR($S996),"",OFFSET('Smelter Reference List'!$G$4,$S996-4,0))</f>
        <v/>
      </c>
      <c r="I996" s="294" t="str">
        <f ca="1">IF(ISERROR($S996),"",OFFSET('Smelter Reference List'!$H$4,$S996-4,0))</f>
        <v/>
      </c>
      <c r="J996" s="294" t="str">
        <f ca="1">IF(ISERROR($S996),"",OFFSET('Smelter Reference List'!$I$4,$S996-4,0))</f>
        <v/>
      </c>
      <c r="K996" s="295"/>
      <c r="L996" s="295"/>
      <c r="M996" s="295"/>
      <c r="N996" s="295"/>
      <c r="O996" s="295"/>
      <c r="P996" s="295"/>
      <c r="Q996" s="296"/>
      <c r="R996" s="227"/>
      <c r="S996" s="228" t="e">
        <f>IF(C996="",NA(),MATCH($B996&amp;$C996,'Smelter Reference List'!$J:$J,0))</f>
        <v>#N/A</v>
      </c>
      <c r="T996" s="229"/>
      <c r="U996" s="229">
        <f t="shared" ca="1" si="32"/>
        <v>0</v>
      </c>
      <c r="V996" s="229"/>
      <c r="W996" s="229"/>
      <c r="Y996" s="223" t="str">
        <f t="shared" si="33"/>
        <v/>
      </c>
    </row>
    <row r="997" spans="1:25" s="223" customFormat="1" ht="20.25">
      <c r="A997" s="291"/>
      <c r="B997" s="292" t="str">
        <f>IF(LEN(A997)=0,"",INDEX('Smelter Reference List'!$A:$A,MATCH($A997,'Smelter Reference List'!$E:$E,0)))</f>
        <v/>
      </c>
      <c r="C997" s="298" t="str">
        <f>IF(LEN(A997)=0,"",INDEX('Smelter Reference List'!$C:$C,MATCH($A997,'Smelter Reference List'!$E:$E,0)))</f>
        <v/>
      </c>
      <c r="D997" s="292" t="str">
        <f ca="1">IF(ISERROR($S997),"",OFFSET('Smelter Reference List'!$C$4,$S997-4,0)&amp;"")</f>
        <v/>
      </c>
      <c r="E997" s="292" t="str">
        <f ca="1">IF(ISERROR($S997),"",OFFSET('Smelter Reference List'!$D$4,$S997-4,0)&amp;"")</f>
        <v/>
      </c>
      <c r="F997" s="292" t="str">
        <f ca="1">IF(ISERROR($S997),"",OFFSET('Smelter Reference List'!$E$4,$S997-4,0))</f>
        <v/>
      </c>
      <c r="G997" s="292" t="str">
        <f ca="1">IF(C997=$U$4,"Enter smelter details", IF(ISERROR($S997),"",OFFSET('Smelter Reference List'!$F$4,$S997-4,0)))</f>
        <v/>
      </c>
      <c r="H997" s="293" t="str">
        <f ca="1">IF(ISERROR($S997),"",OFFSET('Smelter Reference List'!$G$4,$S997-4,0))</f>
        <v/>
      </c>
      <c r="I997" s="294" t="str">
        <f ca="1">IF(ISERROR($S997),"",OFFSET('Smelter Reference List'!$H$4,$S997-4,0))</f>
        <v/>
      </c>
      <c r="J997" s="294" t="str">
        <f ca="1">IF(ISERROR($S997),"",OFFSET('Smelter Reference List'!$I$4,$S997-4,0))</f>
        <v/>
      </c>
      <c r="K997" s="295"/>
      <c r="L997" s="295"/>
      <c r="M997" s="295"/>
      <c r="N997" s="295"/>
      <c r="O997" s="295"/>
      <c r="P997" s="295"/>
      <c r="Q997" s="296"/>
      <c r="R997" s="227"/>
      <c r="S997" s="228" t="e">
        <f>IF(C997="",NA(),MATCH($B997&amp;$C997,'Smelter Reference List'!$J:$J,0))</f>
        <v>#N/A</v>
      </c>
      <c r="T997" s="229"/>
      <c r="U997" s="229">
        <f t="shared" ca="1" si="32"/>
        <v>0</v>
      </c>
      <c r="V997" s="229"/>
      <c r="W997" s="229"/>
      <c r="Y997" s="223" t="str">
        <f t="shared" si="33"/>
        <v/>
      </c>
    </row>
    <row r="998" spans="1:25" s="223" customFormat="1" ht="20.25">
      <c r="A998" s="291"/>
      <c r="B998" s="292" t="str">
        <f>IF(LEN(A998)=0,"",INDEX('Smelter Reference List'!$A:$A,MATCH($A998,'Smelter Reference List'!$E:$E,0)))</f>
        <v/>
      </c>
      <c r="C998" s="298" t="str">
        <f>IF(LEN(A998)=0,"",INDEX('Smelter Reference List'!$C:$C,MATCH($A998,'Smelter Reference List'!$E:$E,0)))</f>
        <v/>
      </c>
      <c r="D998" s="292" t="str">
        <f ca="1">IF(ISERROR($S998),"",OFFSET('Smelter Reference List'!$C$4,$S998-4,0)&amp;"")</f>
        <v/>
      </c>
      <c r="E998" s="292" t="str">
        <f ca="1">IF(ISERROR($S998),"",OFFSET('Smelter Reference List'!$D$4,$S998-4,0)&amp;"")</f>
        <v/>
      </c>
      <c r="F998" s="292" t="str">
        <f ca="1">IF(ISERROR($S998),"",OFFSET('Smelter Reference List'!$E$4,$S998-4,0))</f>
        <v/>
      </c>
      <c r="G998" s="292" t="str">
        <f ca="1">IF(C998=$U$4,"Enter smelter details", IF(ISERROR($S998),"",OFFSET('Smelter Reference List'!$F$4,$S998-4,0)))</f>
        <v/>
      </c>
      <c r="H998" s="293" t="str">
        <f ca="1">IF(ISERROR($S998),"",OFFSET('Smelter Reference List'!$G$4,$S998-4,0))</f>
        <v/>
      </c>
      <c r="I998" s="294" t="str">
        <f ca="1">IF(ISERROR($S998),"",OFFSET('Smelter Reference List'!$H$4,$S998-4,0))</f>
        <v/>
      </c>
      <c r="J998" s="294" t="str">
        <f ca="1">IF(ISERROR($S998),"",OFFSET('Smelter Reference List'!$I$4,$S998-4,0))</f>
        <v/>
      </c>
      <c r="K998" s="295"/>
      <c r="L998" s="295"/>
      <c r="M998" s="295"/>
      <c r="N998" s="295"/>
      <c r="O998" s="295"/>
      <c r="P998" s="295"/>
      <c r="Q998" s="296"/>
      <c r="R998" s="227"/>
      <c r="S998" s="228" t="e">
        <f>IF(C998="",NA(),MATCH($B998&amp;$C998,'Smelter Reference List'!$J:$J,0))</f>
        <v>#N/A</v>
      </c>
      <c r="T998" s="229"/>
      <c r="U998" s="229">
        <f t="shared" ca="1" si="32"/>
        <v>0</v>
      </c>
      <c r="V998" s="229"/>
      <c r="W998" s="229"/>
      <c r="Y998" s="223" t="str">
        <f t="shared" si="33"/>
        <v/>
      </c>
    </row>
    <row r="999" spans="1:25" s="223" customFormat="1" ht="20.25">
      <c r="A999" s="291"/>
      <c r="B999" s="292" t="str">
        <f>IF(LEN(A999)=0,"",INDEX('Smelter Reference List'!$A:$A,MATCH($A999,'Smelter Reference List'!$E:$E,0)))</f>
        <v/>
      </c>
      <c r="C999" s="298" t="str">
        <f>IF(LEN(A999)=0,"",INDEX('Smelter Reference List'!$C:$C,MATCH($A999,'Smelter Reference List'!$E:$E,0)))</f>
        <v/>
      </c>
      <c r="D999" s="292" t="str">
        <f ca="1">IF(ISERROR($S999),"",OFFSET('Smelter Reference List'!$C$4,$S999-4,0)&amp;"")</f>
        <v/>
      </c>
      <c r="E999" s="292" t="str">
        <f ca="1">IF(ISERROR($S999),"",OFFSET('Smelter Reference List'!$D$4,$S999-4,0)&amp;"")</f>
        <v/>
      </c>
      <c r="F999" s="292" t="str">
        <f ca="1">IF(ISERROR($S999),"",OFFSET('Smelter Reference List'!$E$4,$S999-4,0))</f>
        <v/>
      </c>
      <c r="G999" s="292" t="str">
        <f ca="1">IF(C999=$U$4,"Enter smelter details", IF(ISERROR($S999),"",OFFSET('Smelter Reference List'!$F$4,$S999-4,0)))</f>
        <v/>
      </c>
      <c r="H999" s="293" t="str">
        <f ca="1">IF(ISERROR($S999),"",OFFSET('Smelter Reference List'!$G$4,$S999-4,0))</f>
        <v/>
      </c>
      <c r="I999" s="294" t="str">
        <f ca="1">IF(ISERROR($S999),"",OFFSET('Smelter Reference List'!$H$4,$S999-4,0))</f>
        <v/>
      </c>
      <c r="J999" s="294" t="str">
        <f ca="1">IF(ISERROR($S999),"",OFFSET('Smelter Reference List'!$I$4,$S999-4,0))</f>
        <v/>
      </c>
      <c r="K999" s="295"/>
      <c r="L999" s="295"/>
      <c r="M999" s="295"/>
      <c r="N999" s="295"/>
      <c r="O999" s="295"/>
      <c r="P999" s="295"/>
      <c r="Q999" s="296"/>
      <c r="R999" s="227"/>
      <c r="S999" s="228" t="e">
        <f>IF(C999="",NA(),MATCH($B999&amp;$C999,'Smelter Reference List'!$J:$J,0))</f>
        <v>#N/A</v>
      </c>
      <c r="T999" s="229"/>
      <c r="U999" s="229">
        <f t="shared" ca="1" si="32"/>
        <v>0</v>
      </c>
      <c r="V999" s="229"/>
      <c r="W999" s="229"/>
      <c r="Y999" s="223" t="str">
        <f t="shared" si="33"/>
        <v/>
      </c>
    </row>
    <row r="1000" spans="1:25" s="223" customFormat="1" ht="20.25">
      <c r="A1000" s="291"/>
      <c r="B1000" s="292" t="str">
        <f>IF(LEN(A1000)=0,"",INDEX('Smelter Reference List'!$A:$A,MATCH($A1000,'Smelter Reference List'!$E:$E,0)))</f>
        <v/>
      </c>
      <c r="C1000" s="298" t="str">
        <f>IF(LEN(A1000)=0,"",INDEX('Smelter Reference List'!$C:$C,MATCH($A1000,'Smelter Reference List'!$E:$E,0)))</f>
        <v/>
      </c>
      <c r="D1000" s="292" t="str">
        <f ca="1">IF(ISERROR($S1000),"",OFFSET('Smelter Reference List'!$C$4,$S1000-4,0)&amp;"")</f>
        <v/>
      </c>
      <c r="E1000" s="292" t="str">
        <f ca="1">IF(ISERROR($S1000),"",OFFSET('Smelter Reference List'!$D$4,$S1000-4,0)&amp;"")</f>
        <v/>
      </c>
      <c r="F1000" s="292" t="str">
        <f ca="1">IF(ISERROR($S1000),"",OFFSET('Smelter Reference List'!$E$4,$S1000-4,0))</f>
        <v/>
      </c>
      <c r="G1000" s="292" t="str">
        <f ca="1">IF(C1000=$U$4,"Enter smelter details", IF(ISERROR($S1000),"",OFFSET('Smelter Reference List'!$F$4,$S1000-4,0)))</f>
        <v/>
      </c>
      <c r="H1000" s="293" t="str">
        <f ca="1">IF(ISERROR($S1000),"",OFFSET('Smelter Reference List'!$G$4,$S1000-4,0))</f>
        <v/>
      </c>
      <c r="I1000" s="294" t="str">
        <f ca="1">IF(ISERROR($S1000),"",OFFSET('Smelter Reference List'!$H$4,$S1000-4,0))</f>
        <v/>
      </c>
      <c r="J1000" s="294" t="str">
        <f ca="1">IF(ISERROR($S1000),"",OFFSET('Smelter Reference List'!$I$4,$S1000-4,0))</f>
        <v/>
      </c>
      <c r="K1000" s="295"/>
      <c r="L1000" s="295"/>
      <c r="M1000" s="295"/>
      <c r="N1000" s="295"/>
      <c r="O1000" s="295"/>
      <c r="P1000" s="295"/>
      <c r="Q1000" s="296"/>
      <c r="R1000" s="227"/>
      <c r="S1000" s="228" t="e">
        <f>IF(C1000="",NA(),MATCH($B1000&amp;$C1000,'Smelter Reference List'!$J:$J,0))</f>
        <v>#N/A</v>
      </c>
      <c r="T1000" s="229"/>
      <c r="U1000" s="229">
        <f t="shared" ca="1" si="32"/>
        <v>0</v>
      </c>
      <c r="V1000" s="229"/>
      <c r="W1000" s="229"/>
      <c r="Y1000" s="223" t="str">
        <f t="shared" si="33"/>
        <v/>
      </c>
    </row>
    <row r="1001" spans="1:25" s="223" customFormat="1" ht="20.25">
      <c r="A1001" s="291"/>
      <c r="B1001" s="292" t="str">
        <f>IF(LEN(A1001)=0,"",INDEX('Smelter Reference List'!$A:$A,MATCH($A1001,'Smelter Reference List'!$E:$E,0)))</f>
        <v/>
      </c>
      <c r="C1001" s="298" t="str">
        <f>IF(LEN(A1001)=0,"",INDEX('Smelter Reference List'!$C:$C,MATCH($A1001,'Smelter Reference List'!$E:$E,0)))</f>
        <v/>
      </c>
      <c r="D1001" s="292" t="str">
        <f ca="1">IF(ISERROR($S1001),"",OFFSET('Smelter Reference List'!$C$4,$S1001-4,0)&amp;"")</f>
        <v/>
      </c>
      <c r="E1001" s="292" t="str">
        <f ca="1">IF(ISERROR($S1001),"",OFFSET('Smelter Reference List'!$D$4,$S1001-4,0)&amp;"")</f>
        <v/>
      </c>
      <c r="F1001" s="292" t="str">
        <f ca="1">IF(ISERROR($S1001),"",OFFSET('Smelter Reference List'!$E$4,$S1001-4,0))</f>
        <v/>
      </c>
      <c r="G1001" s="292" t="str">
        <f ca="1">IF(C1001=$U$4,"Enter smelter details", IF(ISERROR($S1001),"",OFFSET('Smelter Reference List'!$F$4,$S1001-4,0)))</f>
        <v/>
      </c>
      <c r="H1001" s="293" t="str">
        <f ca="1">IF(ISERROR($S1001),"",OFFSET('Smelter Reference List'!$G$4,$S1001-4,0))</f>
        <v/>
      </c>
      <c r="I1001" s="294" t="str">
        <f ca="1">IF(ISERROR($S1001),"",OFFSET('Smelter Reference List'!$H$4,$S1001-4,0))</f>
        <v/>
      </c>
      <c r="J1001" s="294" t="str">
        <f ca="1">IF(ISERROR($S1001),"",OFFSET('Smelter Reference List'!$I$4,$S1001-4,0))</f>
        <v/>
      </c>
      <c r="K1001" s="295"/>
      <c r="L1001" s="295"/>
      <c r="M1001" s="295"/>
      <c r="N1001" s="295"/>
      <c r="O1001" s="295"/>
      <c r="P1001" s="295"/>
      <c r="Q1001" s="296"/>
      <c r="R1001" s="227"/>
      <c r="S1001" s="228" t="e">
        <f>IF(C1001="",NA(),MATCH($B1001&amp;$C1001,'Smelter Reference List'!$J:$J,0))</f>
        <v>#N/A</v>
      </c>
      <c r="T1001" s="229"/>
      <c r="U1001" s="229">
        <f t="shared" ca="1" si="32"/>
        <v>0</v>
      </c>
      <c r="V1001" s="229"/>
      <c r="W1001" s="229"/>
      <c r="Y1001" s="223" t="str">
        <f t="shared" si="33"/>
        <v/>
      </c>
    </row>
    <row r="1002" spans="1:25" s="223" customFormat="1" ht="20.25">
      <c r="A1002" s="291"/>
      <c r="B1002" s="292" t="str">
        <f>IF(LEN(A1002)=0,"",INDEX('Smelter Reference List'!$A:$A,MATCH($A1002,'Smelter Reference List'!$E:$E,0)))</f>
        <v/>
      </c>
      <c r="C1002" s="298" t="str">
        <f>IF(LEN(A1002)=0,"",INDEX('Smelter Reference List'!$C:$C,MATCH($A1002,'Smelter Reference List'!$E:$E,0)))</f>
        <v/>
      </c>
      <c r="D1002" s="292" t="str">
        <f ca="1">IF(ISERROR($S1002),"",OFFSET('Smelter Reference List'!$C$4,$S1002-4,0)&amp;"")</f>
        <v/>
      </c>
      <c r="E1002" s="292" t="str">
        <f ca="1">IF(ISERROR($S1002),"",OFFSET('Smelter Reference List'!$D$4,$S1002-4,0)&amp;"")</f>
        <v/>
      </c>
      <c r="F1002" s="292" t="str">
        <f ca="1">IF(ISERROR($S1002),"",OFFSET('Smelter Reference List'!$E$4,$S1002-4,0))</f>
        <v/>
      </c>
      <c r="G1002" s="292" t="str">
        <f ca="1">IF(C1002=$U$4,"Enter smelter details", IF(ISERROR($S1002),"",OFFSET('Smelter Reference List'!$F$4,$S1002-4,0)))</f>
        <v/>
      </c>
      <c r="H1002" s="293" t="str">
        <f ca="1">IF(ISERROR($S1002),"",OFFSET('Smelter Reference List'!$G$4,$S1002-4,0))</f>
        <v/>
      </c>
      <c r="I1002" s="294" t="str">
        <f ca="1">IF(ISERROR($S1002),"",OFFSET('Smelter Reference List'!$H$4,$S1002-4,0))</f>
        <v/>
      </c>
      <c r="J1002" s="294" t="str">
        <f ca="1">IF(ISERROR($S1002),"",OFFSET('Smelter Reference List'!$I$4,$S1002-4,0))</f>
        <v/>
      </c>
      <c r="K1002" s="295"/>
      <c r="L1002" s="295"/>
      <c r="M1002" s="295"/>
      <c r="N1002" s="295"/>
      <c r="O1002" s="295"/>
      <c r="P1002" s="295"/>
      <c r="Q1002" s="296"/>
      <c r="R1002" s="227"/>
      <c r="S1002" s="228" t="e">
        <f>IF(C1002="",NA(),MATCH($B1002&amp;$C1002,'Smelter Reference List'!$J:$J,0))</f>
        <v>#N/A</v>
      </c>
      <c r="T1002" s="229"/>
      <c r="U1002" s="229">
        <f t="shared" ca="1" si="32"/>
        <v>0</v>
      </c>
      <c r="V1002" s="229"/>
      <c r="W1002" s="229"/>
      <c r="Y1002" s="223" t="str">
        <f t="shared" si="33"/>
        <v/>
      </c>
    </row>
    <row r="1003" spans="1:25" s="223" customFormat="1" ht="20.25">
      <c r="A1003" s="291"/>
      <c r="B1003" s="292" t="str">
        <f>IF(LEN(A1003)=0,"",INDEX('Smelter Reference List'!$A:$A,MATCH($A1003,'Smelter Reference List'!$E:$E,0)))</f>
        <v/>
      </c>
      <c r="C1003" s="298" t="str">
        <f>IF(LEN(A1003)=0,"",INDEX('Smelter Reference List'!$C:$C,MATCH($A1003,'Smelter Reference List'!$E:$E,0)))</f>
        <v/>
      </c>
      <c r="D1003" s="292" t="str">
        <f ca="1">IF(ISERROR($S1003),"",OFFSET('Smelter Reference List'!$C$4,$S1003-4,0)&amp;"")</f>
        <v/>
      </c>
      <c r="E1003" s="292" t="str">
        <f ca="1">IF(ISERROR($S1003),"",OFFSET('Smelter Reference List'!$D$4,$S1003-4,0)&amp;"")</f>
        <v/>
      </c>
      <c r="F1003" s="292" t="str">
        <f ca="1">IF(ISERROR($S1003),"",OFFSET('Smelter Reference List'!$E$4,$S1003-4,0))</f>
        <v/>
      </c>
      <c r="G1003" s="292" t="str">
        <f ca="1">IF(C1003=$U$4,"Enter smelter details", IF(ISERROR($S1003),"",OFFSET('Smelter Reference List'!$F$4,$S1003-4,0)))</f>
        <v/>
      </c>
      <c r="H1003" s="293" t="str">
        <f ca="1">IF(ISERROR($S1003),"",OFFSET('Smelter Reference List'!$G$4,$S1003-4,0))</f>
        <v/>
      </c>
      <c r="I1003" s="294" t="str">
        <f ca="1">IF(ISERROR($S1003),"",OFFSET('Smelter Reference List'!$H$4,$S1003-4,0))</f>
        <v/>
      </c>
      <c r="J1003" s="294" t="str">
        <f ca="1">IF(ISERROR($S1003),"",OFFSET('Smelter Reference List'!$I$4,$S1003-4,0))</f>
        <v/>
      </c>
      <c r="K1003" s="295"/>
      <c r="L1003" s="295"/>
      <c r="M1003" s="295"/>
      <c r="N1003" s="295"/>
      <c r="O1003" s="295"/>
      <c r="P1003" s="295"/>
      <c r="Q1003" s="296"/>
      <c r="R1003" s="227"/>
      <c r="S1003" s="228" t="e">
        <f>IF(C1003="",NA(),MATCH($B1003&amp;$C1003,'Smelter Reference List'!$J:$J,0))</f>
        <v>#N/A</v>
      </c>
      <c r="T1003" s="229"/>
      <c r="U1003" s="229">
        <f t="shared" ca="1" si="32"/>
        <v>0</v>
      </c>
      <c r="V1003" s="229"/>
      <c r="W1003" s="229"/>
      <c r="Y1003" s="223" t="str">
        <f t="shared" si="33"/>
        <v/>
      </c>
    </row>
    <row r="1004" spans="1:25" s="223" customFormat="1" ht="20.25">
      <c r="A1004" s="291"/>
      <c r="B1004" s="292" t="str">
        <f>IF(LEN(A1004)=0,"",INDEX('Smelter Reference List'!$A:$A,MATCH($A1004,'Smelter Reference List'!$E:$E,0)))</f>
        <v/>
      </c>
      <c r="C1004" s="298" t="str">
        <f>IF(LEN(A1004)=0,"",INDEX('Smelter Reference List'!$C:$C,MATCH($A1004,'Smelter Reference List'!$E:$E,0)))</f>
        <v/>
      </c>
      <c r="D1004" s="292" t="str">
        <f ca="1">IF(ISERROR($S1004),"",OFFSET('Smelter Reference List'!$C$4,$S1004-4,0)&amp;"")</f>
        <v/>
      </c>
      <c r="E1004" s="292" t="str">
        <f ca="1">IF(ISERROR($S1004),"",OFFSET('Smelter Reference List'!$D$4,$S1004-4,0)&amp;"")</f>
        <v/>
      </c>
      <c r="F1004" s="292" t="str">
        <f ca="1">IF(ISERROR($S1004),"",OFFSET('Smelter Reference List'!$E$4,$S1004-4,0))</f>
        <v/>
      </c>
      <c r="G1004" s="292" t="str">
        <f ca="1">IF(C1004=$U$4,"Enter smelter details", IF(ISERROR($S1004),"",OFFSET('Smelter Reference List'!$F$4,$S1004-4,0)))</f>
        <v/>
      </c>
      <c r="H1004" s="293" t="str">
        <f ca="1">IF(ISERROR($S1004),"",OFFSET('Smelter Reference List'!$G$4,$S1004-4,0))</f>
        <v/>
      </c>
      <c r="I1004" s="294" t="str">
        <f ca="1">IF(ISERROR($S1004),"",OFFSET('Smelter Reference List'!$H$4,$S1004-4,0))</f>
        <v/>
      </c>
      <c r="J1004" s="294" t="str">
        <f ca="1">IF(ISERROR($S1004),"",OFFSET('Smelter Reference List'!$I$4,$S1004-4,0))</f>
        <v/>
      </c>
      <c r="K1004" s="295"/>
      <c r="L1004" s="295"/>
      <c r="M1004" s="295"/>
      <c r="N1004" s="295"/>
      <c r="O1004" s="295"/>
      <c r="P1004" s="295"/>
      <c r="Q1004" s="296"/>
      <c r="R1004" s="227"/>
      <c r="S1004" s="228" t="e">
        <f>IF(C1004="",NA(),MATCH($B1004&amp;$C1004,'Smelter Reference List'!$J:$J,0))</f>
        <v>#N/A</v>
      </c>
      <c r="T1004" s="229"/>
      <c r="U1004" s="229">
        <f t="shared" ca="1" si="32"/>
        <v>0</v>
      </c>
      <c r="V1004" s="229"/>
      <c r="W1004" s="229"/>
      <c r="Y1004" s="223" t="str">
        <f t="shared" si="33"/>
        <v/>
      </c>
    </row>
    <row r="1005" spans="1:25" s="223" customFormat="1" ht="20.25">
      <c r="A1005" s="291"/>
      <c r="B1005" s="292" t="str">
        <f>IF(LEN(A1005)=0,"",INDEX('Smelter Reference List'!$A:$A,MATCH($A1005,'Smelter Reference List'!$E:$E,0)))</f>
        <v/>
      </c>
      <c r="C1005" s="298" t="str">
        <f>IF(LEN(A1005)=0,"",INDEX('Smelter Reference List'!$C:$C,MATCH($A1005,'Smelter Reference List'!$E:$E,0)))</f>
        <v/>
      </c>
      <c r="D1005" s="292" t="str">
        <f ca="1">IF(ISERROR($S1005),"",OFFSET('Smelter Reference List'!$C$4,$S1005-4,0)&amp;"")</f>
        <v/>
      </c>
      <c r="E1005" s="292" t="str">
        <f ca="1">IF(ISERROR($S1005),"",OFFSET('Smelter Reference List'!$D$4,$S1005-4,0)&amp;"")</f>
        <v/>
      </c>
      <c r="F1005" s="292" t="str">
        <f ca="1">IF(ISERROR($S1005),"",OFFSET('Smelter Reference List'!$E$4,$S1005-4,0))</f>
        <v/>
      </c>
      <c r="G1005" s="292" t="str">
        <f ca="1">IF(C1005=$U$4,"Enter smelter details", IF(ISERROR($S1005),"",OFFSET('Smelter Reference List'!$F$4,$S1005-4,0)))</f>
        <v/>
      </c>
      <c r="H1005" s="293" t="str">
        <f ca="1">IF(ISERROR($S1005),"",OFFSET('Smelter Reference List'!$G$4,$S1005-4,0))</f>
        <v/>
      </c>
      <c r="I1005" s="294" t="str">
        <f ca="1">IF(ISERROR($S1005),"",OFFSET('Smelter Reference List'!$H$4,$S1005-4,0))</f>
        <v/>
      </c>
      <c r="J1005" s="294" t="str">
        <f ca="1">IF(ISERROR($S1005),"",OFFSET('Smelter Reference List'!$I$4,$S1005-4,0))</f>
        <v/>
      </c>
      <c r="K1005" s="295"/>
      <c r="L1005" s="295"/>
      <c r="M1005" s="295"/>
      <c r="N1005" s="295"/>
      <c r="O1005" s="295"/>
      <c r="P1005" s="295"/>
      <c r="Q1005" s="296"/>
      <c r="R1005" s="227"/>
      <c r="S1005" s="228" t="e">
        <f>IF(C1005="",NA(),MATCH($B1005&amp;$C1005,'Smelter Reference List'!$J:$J,0))</f>
        <v>#N/A</v>
      </c>
      <c r="T1005" s="229"/>
      <c r="U1005" s="229">
        <f t="shared" ca="1" si="32"/>
        <v>0</v>
      </c>
      <c r="V1005" s="229"/>
      <c r="W1005" s="229"/>
      <c r="Y1005" s="223" t="str">
        <f t="shared" si="33"/>
        <v/>
      </c>
    </row>
    <row r="1006" spans="1:25" s="223" customFormat="1" ht="20.25">
      <c r="A1006" s="291"/>
      <c r="B1006" s="292" t="str">
        <f>IF(LEN(A1006)=0,"",INDEX('Smelter Reference List'!$A:$A,MATCH($A1006,'Smelter Reference List'!$E:$E,0)))</f>
        <v/>
      </c>
      <c r="C1006" s="298" t="str">
        <f>IF(LEN(A1006)=0,"",INDEX('Smelter Reference List'!$C:$C,MATCH($A1006,'Smelter Reference List'!$E:$E,0)))</f>
        <v/>
      </c>
      <c r="D1006" s="292" t="str">
        <f ca="1">IF(ISERROR($S1006),"",OFFSET('Smelter Reference List'!$C$4,$S1006-4,0)&amp;"")</f>
        <v/>
      </c>
      <c r="E1006" s="292" t="str">
        <f ca="1">IF(ISERROR($S1006),"",OFFSET('Smelter Reference List'!$D$4,$S1006-4,0)&amp;"")</f>
        <v/>
      </c>
      <c r="F1006" s="292" t="str">
        <f ca="1">IF(ISERROR($S1006),"",OFFSET('Smelter Reference List'!$E$4,$S1006-4,0))</f>
        <v/>
      </c>
      <c r="G1006" s="292" t="str">
        <f ca="1">IF(C1006=$U$4,"Enter smelter details", IF(ISERROR($S1006),"",OFFSET('Smelter Reference List'!$F$4,$S1006-4,0)))</f>
        <v/>
      </c>
      <c r="H1006" s="293" t="str">
        <f ca="1">IF(ISERROR($S1006),"",OFFSET('Smelter Reference List'!$G$4,$S1006-4,0))</f>
        <v/>
      </c>
      <c r="I1006" s="294" t="str">
        <f ca="1">IF(ISERROR($S1006),"",OFFSET('Smelter Reference List'!$H$4,$S1006-4,0))</f>
        <v/>
      </c>
      <c r="J1006" s="294" t="str">
        <f ca="1">IF(ISERROR($S1006),"",OFFSET('Smelter Reference List'!$I$4,$S1006-4,0))</f>
        <v/>
      </c>
      <c r="K1006" s="295"/>
      <c r="L1006" s="295"/>
      <c r="M1006" s="295"/>
      <c r="N1006" s="295"/>
      <c r="O1006" s="295"/>
      <c r="P1006" s="295"/>
      <c r="Q1006" s="296"/>
      <c r="R1006" s="227"/>
      <c r="S1006" s="228" t="e">
        <f>IF(C1006="",NA(),MATCH($B1006&amp;$C1006,'Smelter Reference List'!$J:$J,0))</f>
        <v>#N/A</v>
      </c>
      <c r="T1006" s="229"/>
      <c r="U1006" s="229">
        <f t="shared" ca="1" si="32"/>
        <v>0</v>
      </c>
      <c r="V1006" s="229"/>
      <c r="W1006" s="229"/>
      <c r="Y1006" s="223" t="str">
        <f t="shared" si="33"/>
        <v/>
      </c>
    </row>
    <row r="1007" spans="1:25" s="223" customFormat="1" ht="20.25">
      <c r="A1007" s="291"/>
      <c r="B1007" s="292" t="str">
        <f>IF(LEN(A1007)=0,"",INDEX('Smelter Reference List'!$A:$A,MATCH($A1007,'Smelter Reference List'!$E:$E,0)))</f>
        <v/>
      </c>
      <c r="C1007" s="298" t="str">
        <f>IF(LEN(A1007)=0,"",INDEX('Smelter Reference List'!$C:$C,MATCH($A1007,'Smelter Reference List'!$E:$E,0)))</f>
        <v/>
      </c>
      <c r="D1007" s="292" t="str">
        <f ca="1">IF(ISERROR($S1007),"",OFFSET('Smelter Reference List'!$C$4,$S1007-4,0)&amp;"")</f>
        <v/>
      </c>
      <c r="E1007" s="292" t="str">
        <f ca="1">IF(ISERROR($S1007),"",OFFSET('Smelter Reference List'!$D$4,$S1007-4,0)&amp;"")</f>
        <v/>
      </c>
      <c r="F1007" s="292" t="str">
        <f ca="1">IF(ISERROR($S1007),"",OFFSET('Smelter Reference List'!$E$4,$S1007-4,0))</f>
        <v/>
      </c>
      <c r="G1007" s="292" t="str">
        <f ca="1">IF(C1007=$U$4,"Enter smelter details", IF(ISERROR($S1007),"",OFFSET('Smelter Reference List'!$F$4,$S1007-4,0)))</f>
        <v/>
      </c>
      <c r="H1007" s="293" t="str">
        <f ca="1">IF(ISERROR($S1007),"",OFFSET('Smelter Reference List'!$G$4,$S1007-4,0))</f>
        <v/>
      </c>
      <c r="I1007" s="294" t="str">
        <f ca="1">IF(ISERROR($S1007),"",OFFSET('Smelter Reference List'!$H$4,$S1007-4,0))</f>
        <v/>
      </c>
      <c r="J1007" s="294" t="str">
        <f ca="1">IF(ISERROR($S1007),"",OFFSET('Smelter Reference List'!$I$4,$S1007-4,0))</f>
        <v/>
      </c>
      <c r="K1007" s="295"/>
      <c r="L1007" s="295"/>
      <c r="M1007" s="295"/>
      <c r="N1007" s="295"/>
      <c r="O1007" s="295"/>
      <c r="P1007" s="295"/>
      <c r="Q1007" s="296"/>
      <c r="R1007" s="227"/>
      <c r="S1007" s="228" t="e">
        <f>IF(C1007="",NA(),MATCH($B1007&amp;$C1007,'Smelter Reference List'!$J:$J,0))</f>
        <v>#N/A</v>
      </c>
      <c r="T1007" s="229"/>
      <c r="U1007" s="229">
        <f t="shared" ca="1" si="32"/>
        <v>0</v>
      </c>
      <c r="V1007" s="229"/>
      <c r="W1007" s="229"/>
      <c r="Y1007" s="223" t="str">
        <f t="shared" si="33"/>
        <v/>
      </c>
    </row>
    <row r="1008" spans="1:25" s="223" customFormat="1" ht="20.25">
      <c r="A1008" s="291"/>
      <c r="B1008" s="292" t="str">
        <f>IF(LEN(A1008)=0,"",INDEX('Smelter Reference List'!$A:$A,MATCH($A1008,'Smelter Reference List'!$E:$E,0)))</f>
        <v/>
      </c>
      <c r="C1008" s="298" t="str">
        <f>IF(LEN(A1008)=0,"",INDEX('Smelter Reference List'!$C:$C,MATCH($A1008,'Smelter Reference List'!$E:$E,0)))</f>
        <v/>
      </c>
      <c r="D1008" s="292" t="str">
        <f ca="1">IF(ISERROR($S1008),"",OFFSET('Smelter Reference List'!$C$4,$S1008-4,0)&amp;"")</f>
        <v/>
      </c>
      <c r="E1008" s="292" t="str">
        <f ca="1">IF(ISERROR($S1008),"",OFFSET('Smelter Reference List'!$D$4,$S1008-4,0)&amp;"")</f>
        <v/>
      </c>
      <c r="F1008" s="292" t="str">
        <f ca="1">IF(ISERROR($S1008),"",OFFSET('Smelter Reference List'!$E$4,$S1008-4,0))</f>
        <v/>
      </c>
      <c r="G1008" s="292" t="str">
        <f ca="1">IF(C1008=$U$4,"Enter smelter details", IF(ISERROR($S1008),"",OFFSET('Smelter Reference List'!$F$4,$S1008-4,0)))</f>
        <v/>
      </c>
      <c r="H1008" s="293" t="str">
        <f ca="1">IF(ISERROR($S1008),"",OFFSET('Smelter Reference List'!$G$4,$S1008-4,0))</f>
        <v/>
      </c>
      <c r="I1008" s="294" t="str">
        <f ca="1">IF(ISERROR($S1008),"",OFFSET('Smelter Reference List'!$H$4,$S1008-4,0))</f>
        <v/>
      </c>
      <c r="J1008" s="294" t="str">
        <f ca="1">IF(ISERROR($S1008),"",OFFSET('Smelter Reference List'!$I$4,$S1008-4,0))</f>
        <v/>
      </c>
      <c r="K1008" s="295"/>
      <c r="L1008" s="295"/>
      <c r="M1008" s="295"/>
      <c r="N1008" s="295"/>
      <c r="O1008" s="295"/>
      <c r="P1008" s="295"/>
      <c r="Q1008" s="296"/>
      <c r="R1008" s="227"/>
      <c r="S1008" s="228" t="e">
        <f>IF(C1008="",NA(),MATCH($B1008&amp;$C1008,'Smelter Reference List'!$J:$J,0))</f>
        <v>#N/A</v>
      </c>
      <c r="T1008" s="229"/>
      <c r="U1008" s="229">
        <f t="shared" ca="1" si="32"/>
        <v>0</v>
      </c>
      <c r="V1008" s="229"/>
      <c r="W1008" s="229"/>
      <c r="Y1008" s="223" t="str">
        <f t="shared" si="33"/>
        <v/>
      </c>
    </row>
    <row r="1009" spans="1:25" s="223" customFormat="1" ht="20.25">
      <c r="A1009" s="291"/>
      <c r="B1009" s="292" t="str">
        <f>IF(LEN(A1009)=0,"",INDEX('Smelter Reference List'!$A:$A,MATCH($A1009,'Smelter Reference List'!$E:$E,0)))</f>
        <v/>
      </c>
      <c r="C1009" s="298" t="str">
        <f>IF(LEN(A1009)=0,"",INDEX('Smelter Reference List'!$C:$C,MATCH($A1009,'Smelter Reference List'!$E:$E,0)))</f>
        <v/>
      </c>
      <c r="D1009" s="292" t="str">
        <f ca="1">IF(ISERROR($S1009),"",OFFSET('Smelter Reference List'!$C$4,$S1009-4,0)&amp;"")</f>
        <v/>
      </c>
      <c r="E1009" s="292" t="str">
        <f ca="1">IF(ISERROR($S1009),"",OFFSET('Smelter Reference List'!$D$4,$S1009-4,0)&amp;"")</f>
        <v/>
      </c>
      <c r="F1009" s="292" t="str">
        <f ca="1">IF(ISERROR($S1009),"",OFFSET('Smelter Reference List'!$E$4,$S1009-4,0))</f>
        <v/>
      </c>
      <c r="G1009" s="292" t="str">
        <f ca="1">IF(C1009=$U$4,"Enter smelter details", IF(ISERROR($S1009),"",OFFSET('Smelter Reference List'!$F$4,$S1009-4,0)))</f>
        <v/>
      </c>
      <c r="H1009" s="293" t="str">
        <f ca="1">IF(ISERROR($S1009),"",OFFSET('Smelter Reference List'!$G$4,$S1009-4,0))</f>
        <v/>
      </c>
      <c r="I1009" s="294" t="str">
        <f ca="1">IF(ISERROR($S1009),"",OFFSET('Smelter Reference List'!$H$4,$S1009-4,0))</f>
        <v/>
      </c>
      <c r="J1009" s="294" t="str">
        <f ca="1">IF(ISERROR($S1009),"",OFFSET('Smelter Reference List'!$I$4,$S1009-4,0))</f>
        <v/>
      </c>
      <c r="K1009" s="295"/>
      <c r="L1009" s="295"/>
      <c r="M1009" s="295"/>
      <c r="N1009" s="295"/>
      <c r="O1009" s="295"/>
      <c r="P1009" s="295"/>
      <c r="Q1009" s="296"/>
      <c r="R1009" s="227"/>
      <c r="S1009" s="228" t="e">
        <f>IF(C1009="",NA(),MATCH($B1009&amp;$C1009,'Smelter Reference List'!$J:$J,0))</f>
        <v>#N/A</v>
      </c>
      <c r="T1009" s="229"/>
      <c r="U1009" s="229">
        <f t="shared" ca="1" si="32"/>
        <v>0</v>
      </c>
      <c r="V1009" s="229"/>
      <c r="W1009" s="229"/>
      <c r="Y1009" s="223" t="str">
        <f t="shared" si="33"/>
        <v/>
      </c>
    </row>
    <row r="1010" spans="1:25" s="223" customFormat="1" ht="20.25">
      <c r="A1010" s="291"/>
      <c r="B1010" s="292" t="str">
        <f>IF(LEN(A1010)=0,"",INDEX('Smelter Reference List'!$A:$A,MATCH($A1010,'Smelter Reference List'!$E:$E,0)))</f>
        <v/>
      </c>
      <c r="C1010" s="298" t="str">
        <f>IF(LEN(A1010)=0,"",INDEX('Smelter Reference List'!$C:$C,MATCH($A1010,'Smelter Reference List'!$E:$E,0)))</f>
        <v/>
      </c>
      <c r="D1010" s="292" t="str">
        <f ca="1">IF(ISERROR($S1010),"",OFFSET('Smelter Reference List'!$C$4,$S1010-4,0)&amp;"")</f>
        <v/>
      </c>
      <c r="E1010" s="292" t="str">
        <f ca="1">IF(ISERROR($S1010),"",OFFSET('Smelter Reference List'!$D$4,$S1010-4,0)&amp;"")</f>
        <v/>
      </c>
      <c r="F1010" s="292" t="str">
        <f ca="1">IF(ISERROR($S1010),"",OFFSET('Smelter Reference List'!$E$4,$S1010-4,0))</f>
        <v/>
      </c>
      <c r="G1010" s="292" t="str">
        <f ca="1">IF(C1010=$U$4,"Enter smelter details", IF(ISERROR($S1010),"",OFFSET('Smelter Reference List'!$F$4,$S1010-4,0)))</f>
        <v/>
      </c>
      <c r="H1010" s="293" t="str">
        <f ca="1">IF(ISERROR($S1010),"",OFFSET('Smelter Reference List'!$G$4,$S1010-4,0))</f>
        <v/>
      </c>
      <c r="I1010" s="294" t="str">
        <f ca="1">IF(ISERROR($S1010),"",OFFSET('Smelter Reference List'!$H$4,$S1010-4,0))</f>
        <v/>
      </c>
      <c r="J1010" s="294" t="str">
        <f ca="1">IF(ISERROR($S1010),"",OFFSET('Smelter Reference List'!$I$4,$S1010-4,0))</f>
        <v/>
      </c>
      <c r="K1010" s="295"/>
      <c r="L1010" s="295"/>
      <c r="M1010" s="295"/>
      <c r="N1010" s="295"/>
      <c r="O1010" s="295"/>
      <c r="P1010" s="295"/>
      <c r="Q1010" s="296"/>
      <c r="R1010" s="227"/>
      <c r="S1010" s="228" t="e">
        <f>IF(C1010="",NA(),MATCH($B1010&amp;$C1010,'Smelter Reference List'!$J:$J,0))</f>
        <v>#N/A</v>
      </c>
      <c r="T1010" s="229"/>
      <c r="U1010" s="229">
        <f t="shared" ca="1" si="32"/>
        <v>0</v>
      </c>
      <c r="V1010" s="229"/>
      <c r="W1010" s="229"/>
      <c r="Y1010" s="223" t="str">
        <f t="shared" si="33"/>
        <v/>
      </c>
    </row>
    <row r="1011" spans="1:25" s="223" customFormat="1" ht="20.25">
      <c r="A1011" s="291"/>
      <c r="B1011" s="292" t="str">
        <f>IF(LEN(A1011)=0,"",INDEX('Smelter Reference List'!$A:$A,MATCH($A1011,'Smelter Reference List'!$E:$E,0)))</f>
        <v/>
      </c>
      <c r="C1011" s="298" t="str">
        <f>IF(LEN(A1011)=0,"",INDEX('Smelter Reference List'!$C:$C,MATCH($A1011,'Smelter Reference List'!$E:$E,0)))</f>
        <v/>
      </c>
      <c r="D1011" s="292" t="str">
        <f ca="1">IF(ISERROR($S1011),"",OFFSET('Smelter Reference List'!$C$4,$S1011-4,0)&amp;"")</f>
        <v/>
      </c>
      <c r="E1011" s="292" t="str">
        <f ca="1">IF(ISERROR($S1011),"",OFFSET('Smelter Reference List'!$D$4,$S1011-4,0)&amp;"")</f>
        <v/>
      </c>
      <c r="F1011" s="292" t="str">
        <f ca="1">IF(ISERROR($S1011),"",OFFSET('Smelter Reference List'!$E$4,$S1011-4,0))</f>
        <v/>
      </c>
      <c r="G1011" s="292" t="str">
        <f ca="1">IF(C1011=$U$4,"Enter smelter details", IF(ISERROR($S1011),"",OFFSET('Smelter Reference List'!$F$4,$S1011-4,0)))</f>
        <v/>
      </c>
      <c r="H1011" s="293" t="str">
        <f ca="1">IF(ISERROR($S1011),"",OFFSET('Smelter Reference List'!$G$4,$S1011-4,0))</f>
        <v/>
      </c>
      <c r="I1011" s="294" t="str">
        <f ca="1">IF(ISERROR($S1011),"",OFFSET('Smelter Reference List'!$H$4,$S1011-4,0))</f>
        <v/>
      </c>
      <c r="J1011" s="294" t="str">
        <f ca="1">IF(ISERROR($S1011),"",OFFSET('Smelter Reference List'!$I$4,$S1011-4,0))</f>
        <v/>
      </c>
      <c r="K1011" s="295"/>
      <c r="L1011" s="295"/>
      <c r="M1011" s="295"/>
      <c r="N1011" s="295"/>
      <c r="O1011" s="295"/>
      <c r="P1011" s="295"/>
      <c r="Q1011" s="296"/>
      <c r="R1011" s="227"/>
      <c r="S1011" s="228" t="e">
        <f>IF(C1011="",NA(),MATCH($B1011&amp;$C1011,'Smelter Reference List'!$J:$J,0))</f>
        <v>#N/A</v>
      </c>
      <c r="T1011" s="229"/>
      <c r="U1011" s="229">
        <f t="shared" ca="1" si="32"/>
        <v>0</v>
      </c>
      <c r="V1011" s="229"/>
      <c r="W1011" s="229"/>
      <c r="Y1011" s="223" t="str">
        <f t="shared" si="33"/>
        <v/>
      </c>
    </row>
    <row r="1012" spans="1:25" s="223" customFormat="1" ht="20.25">
      <c r="A1012" s="291"/>
      <c r="B1012" s="292" t="str">
        <f>IF(LEN(A1012)=0,"",INDEX('Smelter Reference List'!$A:$A,MATCH($A1012,'Smelter Reference List'!$E:$E,0)))</f>
        <v/>
      </c>
      <c r="C1012" s="298" t="str">
        <f>IF(LEN(A1012)=0,"",INDEX('Smelter Reference List'!$C:$C,MATCH($A1012,'Smelter Reference List'!$E:$E,0)))</f>
        <v/>
      </c>
      <c r="D1012" s="292" t="str">
        <f ca="1">IF(ISERROR($S1012),"",OFFSET('Smelter Reference List'!$C$4,$S1012-4,0)&amp;"")</f>
        <v/>
      </c>
      <c r="E1012" s="292" t="str">
        <f ca="1">IF(ISERROR($S1012),"",OFFSET('Smelter Reference List'!$D$4,$S1012-4,0)&amp;"")</f>
        <v/>
      </c>
      <c r="F1012" s="292" t="str">
        <f ca="1">IF(ISERROR($S1012),"",OFFSET('Smelter Reference List'!$E$4,$S1012-4,0))</f>
        <v/>
      </c>
      <c r="G1012" s="292" t="str">
        <f ca="1">IF(C1012=$U$4,"Enter smelter details", IF(ISERROR($S1012),"",OFFSET('Smelter Reference List'!$F$4,$S1012-4,0)))</f>
        <v/>
      </c>
      <c r="H1012" s="293" t="str">
        <f ca="1">IF(ISERROR($S1012),"",OFFSET('Smelter Reference List'!$G$4,$S1012-4,0))</f>
        <v/>
      </c>
      <c r="I1012" s="294" t="str">
        <f ca="1">IF(ISERROR($S1012),"",OFFSET('Smelter Reference List'!$H$4,$S1012-4,0))</f>
        <v/>
      </c>
      <c r="J1012" s="294" t="str">
        <f ca="1">IF(ISERROR($S1012),"",OFFSET('Smelter Reference List'!$I$4,$S1012-4,0))</f>
        <v/>
      </c>
      <c r="K1012" s="295"/>
      <c r="L1012" s="295"/>
      <c r="M1012" s="295"/>
      <c r="N1012" s="295"/>
      <c r="O1012" s="295"/>
      <c r="P1012" s="295"/>
      <c r="Q1012" s="296"/>
      <c r="R1012" s="227"/>
      <c r="S1012" s="228" t="e">
        <f>IF(C1012="",NA(),MATCH($B1012&amp;$C1012,'Smelter Reference List'!$J:$J,0))</f>
        <v>#N/A</v>
      </c>
      <c r="T1012" s="229"/>
      <c r="U1012" s="229">
        <f t="shared" ca="1" si="32"/>
        <v>0</v>
      </c>
      <c r="V1012" s="229"/>
      <c r="W1012" s="229"/>
      <c r="Y1012" s="223" t="str">
        <f t="shared" si="33"/>
        <v/>
      </c>
    </row>
    <row r="1013" spans="1:25" s="223" customFormat="1" ht="20.25">
      <c r="A1013" s="291"/>
      <c r="B1013" s="292" t="str">
        <f>IF(LEN(A1013)=0,"",INDEX('Smelter Reference List'!$A:$A,MATCH($A1013,'Smelter Reference List'!$E:$E,0)))</f>
        <v/>
      </c>
      <c r="C1013" s="298" t="str">
        <f>IF(LEN(A1013)=0,"",INDEX('Smelter Reference List'!$C:$C,MATCH($A1013,'Smelter Reference List'!$E:$E,0)))</f>
        <v/>
      </c>
      <c r="D1013" s="292" t="str">
        <f ca="1">IF(ISERROR($S1013),"",OFFSET('Smelter Reference List'!$C$4,$S1013-4,0)&amp;"")</f>
        <v/>
      </c>
      <c r="E1013" s="292" t="str">
        <f ca="1">IF(ISERROR($S1013),"",OFFSET('Smelter Reference List'!$D$4,$S1013-4,0)&amp;"")</f>
        <v/>
      </c>
      <c r="F1013" s="292" t="str">
        <f ca="1">IF(ISERROR($S1013),"",OFFSET('Smelter Reference List'!$E$4,$S1013-4,0))</f>
        <v/>
      </c>
      <c r="G1013" s="292" t="str">
        <f ca="1">IF(C1013=$U$4,"Enter smelter details", IF(ISERROR($S1013),"",OFFSET('Smelter Reference List'!$F$4,$S1013-4,0)))</f>
        <v/>
      </c>
      <c r="H1013" s="293" t="str">
        <f ca="1">IF(ISERROR($S1013),"",OFFSET('Smelter Reference List'!$G$4,$S1013-4,0))</f>
        <v/>
      </c>
      <c r="I1013" s="294" t="str">
        <f ca="1">IF(ISERROR($S1013),"",OFFSET('Smelter Reference List'!$H$4,$S1013-4,0))</f>
        <v/>
      </c>
      <c r="J1013" s="294" t="str">
        <f ca="1">IF(ISERROR($S1013),"",OFFSET('Smelter Reference List'!$I$4,$S1013-4,0))</f>
        <v/>
      </c>
      <c r="K1013" s="295"/>
      <c r="L1013" s="295"/>
      <c r="M1013" s="295"/>
      <c r="N1013" s="295"/>
      <c r="O1013" s="295"/>
      <c r="P1013" s="295"/>
      <c r="Q1013" s="296"/>
      <c r="R1013" s="227"/>
      <c r="S1013" s="228" t="e">
        <f>IF(C1013="",NA(),MATCH($B1013&amp;$C1013,'Smelter Reference List'!$J:$J,0))</f>
        <v>#N/A</v>
      </c>
      <c r="T1013" s="229"/>
      <c r="U1013" s="229">
        <f t="shared" ca="1" si="32"/>
        <v>0</v>
      </c>
      <c r="V1013" s="229"/>
      <c r="W1013" s="229"/>
      <c r="Y1013" s="223" t="str">
        <f t="shared" si="33"/>
        <v/>
      </c>
    </row>
    <row r="1014" spans="1:25" s="223" customFormat="1" ht="20.25">
      <c r="A1014" s="291"/>
      <c r="B1014" s="292" t="str">
        <f>IF(LEN(A1014)=0,"",INDEX('Smelter Reference List'!$A:$A,MATCH($A1014,'Smelter Reference List'!$E:$E,0)))</f>
        <v/>
      </c>
      <c r="C1014" s="298" t="str">
        <f>IF(LEN(A1014)=0,"",INDEX('Smelter Reference List'!$C:$C,MATCH($A1014,'Smelter Reference List'!$E:$E,0)))</f>
        <v/>
      </c>
      <c r="D1014" s="292" t="str">
        <f ca="1">IF(ISERROR($S1014),"",OFFSET('Smelter Reference List'!$C$4,$S1014-4,0)&amp;"")</f>
        <v/>
      </c>
      <c r="E1014" s="292" t="str">
        <f ca="1">IF(ISERROR($S1014),"",OFFSET('Smelter Reference List'!$D$4,$S1014-4,0)&amp;"")</f>
        <v/>
      </c>
      <c r="F1014" s="292" t="str">
        <f ca="1">IF(ISERROR($S1014),"",OFFSET('Smelter Reference List'!$E$4,$S1014-4,0))</f>
        <v/>
      </c>
      <c r="G1014" s="292" t="str">
        <f ca="1">IF(C1014=$U$4,"Enter smelter details", IF(ISERROR($S1014),"",OFFSET('Smelter Reference List'!$F$4,$S1014-4,0)))</f>
        <v/>
      </c>
      <c r="H1014" s="293" t="str">
        <f ca="1">IF(ISERROR($S1014),"",OFFSET('Smelter Reference List'!$G$4,$S1014-4,0))</f>
        <v/>
      </c>
      <c r="I1014" s="294" t="str">
        <f ca="1">IF(ISERROR($S1014),"",OFFSET('Smelter Reference List'!$H$4,$S1014-4,0))</f>
        <v/>
      </c>
      <c r="J1014" s="294" t="str">
        <f ca="1">IF(ISERROR($S1014),"",OFFSET('Smelter Reference List'!$I$4,$S1014-4,0))</f>
        <v/>
      </c>
      <c r="K1014" s="295"/>
      <c r="L1014" s="295"/>
      <c r="M1014" s="295"/>
      <c r="N1014" s="295"/>
      <c r="O1014" s="295"/>
      <c r="P1014" s="295"/>
      <c r="Q1014" s="296"/>
      <c r="R1014" s="227"/>
      <c r="S1014" s="228" t="e">
        <f>IF(C1014="",NA(),MATCH($B1014&amp;$C1014,'Smelter Reference List'!$J:$J,0))</f>
        <v>#N/A</v>
      </c>
      <c r="T1014" s="229"/>
      <c r="U1014" s="229">
        <f t="shared" ca="1" si="32"/>
        <v>0</v>
      </c>
      <c r="V1014" s="229"/>
      <c r="W1014" s="229"/>
      <c r="Y1014" s="223" t="str">
        <f t="shared" si="33"/>
        <v/>
      </c>
    </row>
    <row r="1015" spans="1:25" s="223" customFormat="1" ht="20.25">
      <c r="A1015" s="291"/>
      <c r="B1015" s="292" t="str">
        <f>IF(LEN(A1015)=0,"",INDEX('Smelter Reference List'!$A:$A,MATCH($A1015,'Smelter Reference List'!$E:$E,0)))</f>
        <v/>
      </c>
      <c r="C1015" s="298" t="str">
        <f>IF(LEN(A1015)=0,"",INDEX('Smelter Reference List'!$C:$C,MATCH($A1015,'Smelter Reference List'!$E:$E,0)))</f>
        <v/>
      </c>
      <c r="D1015" s="292" t="str">
        <f ca="1">IF(ISERROR($S1015),"",OFFSET('Smelter Reference List'!$C$4,$S1015-4,0)&amp;"")</f>
        <v/>
      </c>
      <c r="E1015" s="292" t="str">
        <f ca="1">IF(ISERROR($S1015),"",OFFSET('Smelter Reference List'!$D$4,$S1015-4,0)&amp;"")</f>
        <v/>
      </c>
      <c r="F1015" s="292" t="str">
        <f ca="1">IF(ISERROR($S1015),"",OFFSET('Smelter Reference List'!$E$4,$S1015-4,0))</f>
        <v/>
      </c>
      <c r="G1015" s="292" t="str">
        <f ca="1">IF(C1015=$U$4,"Enter smelter details", IF(ISERROR($S1015),"",OFFSET('Smelter Reference List'!$F$4,$S1015-4,0)))</f>
        <v/>
      </c>
      <c r="H1015" s="293" t="str">
        <f ca="1">IF(ISERROR($S1015),"",OFFSET('Smelter Reference List'!$G$4,$S1015-4,0))</f>
        <v/>
      </c>
      <c r="I1015" s="294" t="str">
        <f ca="1">IF(ISERROR($S1015),"",OFFSET('Smelter Reference List'!$H$4,$S1015-4,0))</f>
        <v/>
      </c>
      <c r="J1015" s="294" t="str">
        <f ca="1">IF(ISERROR($S1015),"",OFFSET('Smelter Reference List'!$I$4,$S1015-4,0))</f>
        <v/>
      </c>
      <c r="K1015" s="295"/>
      <c r="L1015" s="295"/>
      <c r="M1015" s="295"/>
      <c r="N1015" s="295"/>
      <c r="O1015" s="295"/>
      <c r="P1015" s="295"/>
      <c r="Q1015" s="296"/>
      <c r="R1015" s="227"/>
      <c r="S1015" s="228" t="e">
        <f>IF(C1015="",NA(),MATCH($B1015&amp;$C1015,'Smelter Reference List'!$J:$J,0))</f>
        <v>#N/A</v>
      </c>
      <c r="T1015" s="229"/>
      <c r="U1015" s="229">
        <f t="shared" ca="1" si="32"/>
        <v>0</v>
      </c>
      <c r="V1015" s="229"/>
      <c r="W1015" s="229"/>
      <c r="Y1015" s="223" t="str">
        <f t="shared" si="33"/>
        <v/>
      </c>
    </row>
    <row r="1016" spans="1:25" s="223" customFormat="1" ht="20.25">
      <c r="A1016" s="291"/>
      <c r="B1016" s="292" t="str">
        <f>IF(LEN(A1016)=0,"",INDEX('Smelter Reference List'!$A:$A,MATCH($A1016,'Smelter Reference List'!$E:$E,0)))</f>
        <v/>
      </c>
      <c r="C1016" s="298" t="str">
        <f>IF(LEN(A1016)=0,"",INDEX('Smelter Reference List'!$C:$C,MATCH($A1016,'Smelter Reference List'!$E:$E,0)))</f>
        <v/>
      </c>
      <c r="D1016" s="292" t="str">
        <f ca="1">IF(ISERROR($S1016),"",OFFSET('Smelter Reference List'!$C$4,$S1016-4,0)&amp;"")</f>
        <v/>
      </c>
      <c r="E1016" s="292" t="str">
        <f ca="1">IF(ISERROR($S1016),"",OFFSET('Smelter Reference List'!$D$4,$S1016-4,0)&amp;"")</f>
        <v/>
      </c>
      <c r="F1016" s="292" t="str">
        <f ca="1">IF(ISERROR($S1016),"",OFFSET('Smelter Reference List'!$E$4,$S1016-4,0))</f>
        <v/>
      </c>
      <c r="G1016" s="292" t="str">
        <f ca="1">IF(C1016=$U$4,"Enter smelter details", IF(ISERROR($S1016),"",OFFSET('Smelter Reference List'!$F$4,$S1016-4,0)))</f>
        <v/>
      </c>
      <c r="H1016" s="293" t="str">
        <f ca="1">IF(ISERROR($S1016),"",OFFSET('Smelter Reference List'!$G$4,$S1016-4,0))</f>
        <v/>
      </c>
      <c r="I1016" s="294" t="str">
        <f ca="1">IF(ISERROR($S1016),"",OFFSET('Smelter Reference List'!$H$4,$S1016-4,0))</f>
        <v/>
      </c>
      <c r="J1016" s="294" t="str">
        <f ca="1">IF(ISERROR($S1016),"",OFFSET('Smelter Reference List'!$I$4,$S1016-4,0))</f>
        <v/>
      </c>
      <c r="K1016" s="295"/>
      <c r="L1016" s="295"/>
      <c r="M1016" s="295"/>
      <c r="N1016" s="295"/>
      <c r="O1016" s="295"/>
      <c r="P1016" s="295"/>
      <c r="Q1016" s="296"/>
      <c r="R1016" s="227"/>
      <c r="S1016" s="228" t="e">
        <f>IF(C1016="",NA(),MATCH($B1016&amp;$C1016,'Smelter Reference List'!$J:$J,0))</f>
        <v>#N/A</v>
      </c>
      <c r="T1016" s="229"/>
      <c r="U1016" s="229">
        <f t="shared" ca="1" si="32"/>
        <v>0</v>
      </c>
      <c r="V1016" s="229"/>
      <c r="W1016" s="229"/>
      <c r="Y1016" s="223" t="str">
        <f t="shared" si="33"/>
        <v/>
      </c>
    </row>
    <row r="1017" spans="1:25" s="223" customFormat="1" ht="20.25">
      <c r="A1017" s="291"/>
      <c r="B1017" s="292" t="str">
        <f>IF(LEN(A1017)=0,"",INDEX('Smelter Reference List'!$A:$A,MATCH($A1017,'Smelter Reference List'!$E:$E,0)))</f>
        <v/>
      </c>
      <c r="C1017" s="298" t="str">
        <f>IF(LEN(A1017)=0,"",INDEX('Smelter Reference List'!$C:$C,MATCH($A1017,'Smelter Reference List'!$E:$E,0)))</f>
        <v/>
      </c>
      <c r="D1017" s="292" t="str">
        <f ca="1">IF(ISERROR($S1017),"",OFFSET('Smelter Reference List'!$C$4,$S1017-4,0)&amp;"")</f>
        <v/>
      </c>
      <c r="E1017" s="292" t="str">
        <f ca="1">IF(ISERROR($S1017),"",OFFSET('Smelter Reference List'!$D$4,$S1017-4,0)&amp;"")</f>
        <v/>
      </c>
      <c r="F1017" s="292" t="str">
        <f ca="1">IF(ISERROR($S1017),"",OFFSET('Smelter Reference List'!$E$4,$S1017-4,0))</f>
        <v/>
      </c>
      <c r="G1017" s="292" t="str">
        <f ca="1">IF(C1017=$U$4,"Enter smelter details", IF(ISERROR($S1017),"",OFFSET('Smelter Reference List'!$F$4,$S1017-4,0)))</f>
        <v/>
      </c>
      <c r="H1017" s="293" t="str">
        <f ca="1">IF(ISERROR($S1017),"",OFFSET('Smelter Reference List'!$G$4,$S1017-4,0))</f>
        <v/>
      </c>
      <c r="I1017" s="294" t="str">
        <f ca="1">IF(ISERROR($S1017),"",OFFSET('Smelter Reference List'!$H$4,$S1017-4,0))</f>
        <v/>
      </c>
      <c r="J1017" s="294" t="str">
        <f ca="1">IF(ISERROR($S1017),"",OFFSET('Smelter Reference List'!$I$4,$S1017-4,0))</f>
        <v/>
      </c>
      <c r="K1017" s="295"/>
      <c r="L1017" s="295"/>
      <c r="M1017" s="295"/>
      <c r="N1017" s="295"/>
      <c r="O1017" s="295"/>
      <c r="P1017" s="295"/>
      <c r="Q1017" s="296"/>
      <c r="R1017" s="227"/>
      <c r="S1017" s="228" t="e">
        <f>IF(C1017="",NA(),MATCH($B1017&amp;$C1017,'Smelter Reference List'!$J:$J,0))</f>
        <v>#N/A</v>
      </c>
      <c r="T1017" s="229"/>
      <c r="U1017" s="229">
        <f t="shared" ca="1" si="32"/>
        <v>0</v>
      </c>
      <c r="V1017" s="229"/>
      <c r="W1017" s="229"/>
      <c r="Y1017" s="223" t="str">
        <f t="shared" si="33"/>
        <v/>
      </c>
    </row>
    <row r="1018" spans="1:25" s="223" customFormat="1" ht="20.25">
      <c r="A1018" s="291"/>
      <c r="B1018" s="292" t="str">
        <f>IF(LEN(A1018)=0,"",INDEX('Smelter Reference List'!$A:$A,MATCH($A1018,'Smelter Reference List'!$E:$E,0)))</f>
        <v/>
      </c>
      <c r="C1018" s="298" t="str">
        <f>IF(LEN(A1018)=0,"",INDEX('Smelter Reference List'!$C:$C,MATCH($A1018,'Smelter Reference List'!$E:$E,0)))</f>
        <v/>
      </c>
      <c r="D1018" s="292" t="str">
        <f ca="1">IF(ISERROR($S1018),"",OFFSET('Smelter Reference List'!$C$4,$S1018-4,0)&amp;"")</f>
        <v/>
      </c>
      <c r="E1018" s="292" t="str">
        <f ca="1">IF(ISERROR($S1018),"",OFFSET('Smelter Reference List'!$D$4,$S1018-4,0)&amp;"")</f>
        <v/>
      </c>
      <c r="F1018" s="292" t="str">
        <f ca="1">IF(ISERROR($S1018),"",OFFSET('Smelter Reference List'!$E$4,$S1018-4,0))</f>
        <v/>
      </c>
      <c r="G1018" s="292" t="str">
        <f ca="1">IF(C1018=$U$4,"Enter smelter details", IF(ISERROR($S1018),"",OFFSET('Smelter Reference List'!$F$4,$S1018-4,0)))</f>
        <v/>
      </c>
      <c r="H1018" s="293" t="str">
        <f ca="1">IF(ISERROR($S1018),"",OFFSET('Smelter Reference List'!$G$4,$S1018-4,0))</f>
        <v/>
      </c>
      <c r="I1018" s="294" t="str">
        <f ca="1">IF(ISERROR($S1018),"",OFFSET('Smelter Reference List'!$H$4,$S1018-4,0))</f>
        <v/>
      </c>
      <c r="J1018" s="294" t="str">
        <f ca="1">IF(ISERROR($S1018),"",OFFSET('Smelter Reference List'!$I$4,$S1018-4,0))</f>
        <v/>
      </c>
      <c r="K1018" s="295"/>
      <c r="L1018" s="295"/>
      <c r="M1018" s="295"/>
      <c r="N1018" s="295"/>
      <c r="O1018" s="295"/>
      <c r="P1018" s="295"/>
      <c r="Q1018" s="296"/>
      <c r="R1018" s="227"/>
      <c r="S1018" s="228" t="e">
        <f>IF(C1018="",NA(),MATCH($B1018&amp;$C1018,'Smelter Reference List'!$J:$J,0))</f>
        <v>#N/A</v>
      </c>
      <c r="T1018" s="229"/>
      <c r="U1018" s="229">
        <f t="shared" ca="1" si="32"/>
        <v>0</v>
      </c>
      <c r="V1018" s="229"/>
      <c r="W1018" s="229"/>
      <c r="Y1018" s="223" t="str">
        <f t="shared" si="33"/>
        <v/>
      </c>
    </row>
    <row r="1019" spans="1:25" s="223" customFormat="1" ht="20.25">
      <c r="A1019" s="291"/>
      <c r="B1019" s="292" t="str">
        <f>IF(LEN(A1019)=0,"",INDEX('Smelter Reference List'!$A:$A,MATCH($A1019,'Smelter Reference List'!$E:$E,0)))</f>
        <v/>
      </c>
      <c r="C1019" s="298" t="str">
        <f>IF(LEN(A1019)=0,"",INDEX('Smelter Reference List'!$C:$C,MATCH($A1019,'Smelter Reference List'!$E:$E,0)))</f>
        <v/>
      </c>
      <c r="D1019" s="292" t="str">
        <f ca="1">IF(ISERROR($S1019),"",OFFSET('Smelter Reference List'!$C$4,$S1019-4,0)&amp;"")</f>
        <v/>
      </c>
      <c r="E1019" s="292" t="str">
        <f ca="1">IF(ISERROR($S1019),"",OFFSET('Smelter Reference List'!$D$4,$S1019-4,0)&amp;"")</f>
        <v/>
      </c>
      <c r="F1019" s="292" t="str">
        <f ca="1">IF(ISERROR($S1019),"",OFFSET('Smelter Reference List'!$E$4,$S1019-4,0))</f>
        <v/>
      </c>
      <c r="G1019" s="292" t="str">
        <f ca="1">IF(C1019=$U$4,"Enter smelter details", IF(ISERROR($S1019),"",OFFSET('Smelter Reference List'!$F$4,$S1019-4,0)))</f>
        <v/>
      </c>
      <c r="H1019" s="293" t="str">
        <f ca="1">IF(ISERROR($S1019),"",OFFSET('Smelter Reference List'!$G$4,$S1019-4,0))</f>
        <v/>
      </c>
      <c r="I1019" s="294" t="str">
        <f ca="1">IF(ISERROR($S1019),"",OFFSET('Smelter Reference List'!$H$4,$S1019-4,0))</f>
        <v/>
      </c>
      <c r="J1019" s="294" t="str">
        <f ca="1">IF(ISERROR($S1019),"",OFFSET('Smelter Reference List'!$I$4,$S1019-4,0))</f>
        <v/>
      </c>
      <c r="K1019" s="295"/>
      <c r="L1019" s="295"/>
      <c r="M1019" s="295"/>
      <c r="N1019" s="295"/>
      <c r="O1019" s="295"/>
      <c r="P1019" s="295"/>
      <c r="Q1019" s="296"/>
      <c r="R1019" s="227"/>
      <c r="S1019" s="228" t="e">
        <f>IF(C1019="",NA(),MATCH($B1019&amp;$C1019,'Smelter Reference List'!$J:$J,0))</f>
        <v>#N/A</v>
      </c>
      <c r="T1019" s="229"/>
      <c r="U1019" s="229">
        <f t="shared" ca="1" si="32"/>
        <v>0</v>
      </c>
      <c r="V1019" s="229"/>
      <c r="W1019" s="229"/>
      <c r="Y1019" s="223" t="str">
        <f t="shared" si="33"/>
        <v/>
      </c>
    </row>
    <row r="1020" spans="1:25" s="223" customFormat="1" ht="20.25">
      <c r="A1020" s="291"/>
      <c r="B1020" s="292" t="str">
        <f>IF(LEN(A1020)=0,"",INDEX('Smelter Reference List'!$A:$A,MATCH($A1020,'Smelter Reference List'!$E:$E,0)))</f>
        <v/>
      </c>
      <c r="C1020" s="298" t="str">
        <f>IF(LEN(A1020)=0,"",INDEX('Smelter Reference List'!$C:$C,MATCH($A1020,'Smelter Reference List'!$E:$E,0)))</f>
        <v/>
      </c>
      <c r="D1020" s="292" t="str">
        <f ca="1">IF(ISERROR($S1020),"",OFFSET('Smelter Reference List'!$C$4,$S1020-4,0)&amp;"")</f>
        <v/>
      </c>
      <c r="E1020" s="292" t="str">
        <f ca="1">IF(ISERROR($S1020),"",OFFSET('Smelter Reference List'!$D$4,$S1020-4,0)&amp;"")</f>
        <v/>
      </c>
      <c r="F1020" s="292" t="str">
        <f ca="1">IF(ISERROR($S1020),"",OFFSET('Smelter Reference List'!$E$4,$S1020-4,0))</f>
        <v/>
      </c>
      <c r="G1020" s="292" t="str">
        <f ca="1">IF(C1020=$U$4,"Enter smelter details", IF(ISERROR($S1020),"",OFFSET('Smelter Reference List'!$F$4,$S1020-4,0)))</f>
        <v/>
      </c>
      <c r="H1020" s="293" t="str">
        <f ca="1">IF(ISERROR($S1020),"",OFFSET('Smelter Reference List'!$G$4,$S1020-4,0))</f>
        <v/>
      </c>
      <c r="I1020" s="294" t="str">
        <f ca="1">IF(ISERROR($S1020),"",OFFSET('Smelter Reference List'!$H$4,$S1020-4,0))</f>
        <v/>
      </c>
      <c r="J1020" s="294" t="str">
        <f ca="1">IF(ISERROR($S1020),"",OFFSET('Smelter Reference List'!$I$4,$S1020-4,0))</f>
        <v/>
      </c>
      <c r="K1020" s="295"/>
      <c r="L1020" s="295"/>
      <c r="M1020" s="295"/>
      <c r="N1020" s="295"/>
      <c r="O1020" s="295"/>
      <c r="P1020" s="295"/>
      <c r="Q1020" s="296"/>
      <c r="R1020" s="227"/>
      <c r="S1020" s="228" t="e">
        <f>IF(C1020="",NA(),MATCH($B1020&amp;$C1020,'Smelter Reference List'!$J:$J,0))</f>
        <v>#N/A</v>
      </c>
      <c r="T1020" s="229"/>
      <c r="U1020" s="229">
        <f t="shared" ca="1" si="32"/>
        <v>0</v>
      </c>
      <c r="V1020" s="229"/>
      <c r="W1020" s="229"/>
      <c r="Y1020" s="223" t="str">
        <f t="shared" si="33"/>
        <v/>
      </c>
    </row>
    <row r="1021" spans="1:25" s="223" customFormat="1" ht="20.25">
      <c r="A1021" s="291"/>
      <c r="B1021" s="292" t="str">
        <f>IF(LEN(A1021)=0,"",INDEX('Smelter Reference List'!$A:$A,MATCH($A1021,'Smelter Reference List'!$E:$E,0)))</f>
        <v/>
      </c>
      <c r="C1021" s="298" t="str">
        <f>IF(LEN(A1021)=0,"",INDEX('Smelter Reference List'!$C:$C,MATCH($A1021,'Smelter Reference List'!$E:$E,0)))</f>
        <v/>
      </c>
      <c r="D1021" s="292" t="str">
        <f ca="1">IF(ISERROR($S1021),"",OFFSET('Smelter Reference List'!$C$4,$S1021-4,0)&amp;"")</f>
        <v/>
      </c>
      <c r="E1021" s="292" t="str">
        <f ca="1">IF(ISERROR($S1021),"",OFFSET('Smelter Reference List'!$D$4,$S1021-4,0)&amp;"")</f>
        <v/>
      </c>
      <c r="F1021" s="292" t="str">
        <f ca="1">IF(ISERROR($S1021),"",OFFSET('Smelter Reference List'!$E$4,$S1021-4,0))</f>
        <v/>
      </c>
      <c r="G1021" s="292" t="str">
        <f ca="1">IF(C1021=$U$4,"Enter smelter details", IF(ISERROR($S1021),"",OFFSET('Smelter Reference List'!$F$4,$S1021-4,0)))</f>
        <v/>
      </c>
      <c r="H1021" s="293" t="str">
        <f ca="1">IF(ISERROR($S1021),"",OFFSET('Smelter Reference List'!$G$4,$S1021-4,0))</f>
        <v/>
      </c>
      <c r="I1021" s="294" t="str">
        <f ca="1">IF(ISERROR($S1021),"",OFFSET('Smelter Reference List'!$H$4,$S1021-4,0))</f>
        <v/>
      </c>
      <c r="J1021" s="294" t="str">
        <f ca="1">IF(ISERROR($S1021),"",OFFSET('Smelter Reference List'!$I$4,$S1021-4,0))</f>
        <v/>
      </c>
      <c r="K1021" s="295"/>
      <c r="L1021" s="295"/>
      <c r="M1021" s="295"/>
      <c r="N1021" s="295"/>
      <c r="O1021" s="295"/>
      <c r="P1021" s="295"/>
      <c r="Q1021" s="296"/>
      <c r="R1021" s="227"/>
      <c r="S1021" s="228" t="e">
        <f>IF(C1021="",NA(),MATCH($B1021&amp;$C1021,'Smelter Reference List'!$J:$J,0))</f>
        <v>#N/A</v>
      </c>
      <c r="T1021" s="229"/>
      <c r="U1021" s="229">
        <f t="shared" ca="1" si="32"/>
        <v>0</v>
      </c>
      <c r="V1021" s="229"/>
      <c r="W1021" s="229"/>
      <c r="Y1021" s="223" t="str">
        <f t="shared" si="33"/>
        <v/>
      </c>
    </row>
    <row r="1022" spans="1:25" s="223" customFormat="1" ht="20.25">
      <c r="A1022" s="291"/>
      <c r="B1022" s="292" t="str">
        <f>IF(LEN(A1022)=0,"",INDEX('Smelter Reference List'!$A:$A,MATCH($A1022,'Smelter Reference List'!$E:$E,0)))</f>
        <v/>
      </c>
      <c r="C1022" s="298" t="str">
        <f>IF(LEN(A1022)=0,"",INDEX('Smelter Reference List'!$C:$C,MATCH($A1022,'Smelter Reference List'!$E:$E,0)))</f>
        <v/>
      </c>
      <c r="D1022" s="292" t="str">
        <f ca="1">IF(ISERROR($S1022),"",OFFSET('Smelter Reference List'!$C$4,$S1022-4,0)&amp;"")</f>
        <v/>
      </c>
      <c r="E1022" s="292" t="str">
        <f ca="1">IF(ISERROR($S1022),"",OFFSET('Smelter Reference List'!$D$4,$S1022-4,0)&amp;"")</f>
        <v/>
      </c>
      <c r="F1022" s="292" t="str">
        <f ca="1">IF(ISERROR($S1022),"",OFFSET('Smelter Reference List'!$E$4,$S1022-4,0))</f>
        <v/>
      </c>
      <c r="G1022" s="292" t="str">
        <f ca="1">IF(C1022=$U$4,"Enter smelter details", IF(ISERROR($S1022),"",OFFSET('Smelter Reference List'!$F$4,$S1022-4,0)))</f>
        <v/>
      </c>
      <c r="H1022" s="293" t="str">
        <f ca="1">IF(ISERROR($S1022),"",OFFSET('Smelter Reference List'!$G$4,$S1022-4,0))</f>
        <v/>
      </c>
      <c r="I1022" s="294" t="str">
        <f ca="1">IF(ISERROR($S1022),"",OFFSET('Smelter Reference List'!$H$4,$S1022-4,0))</f>
        <v/>
      </c>
      <c r="J1022" s="294" t="str">
        <f ca="1">IF(ISERROR($S1022),"",OFFSET('Smelter Reference List'!$I$4,$S1022-4,0))</f>
        <v/>
      </c>
      <c r="K1022" s="295"/>
      <c r="L1022" s="295"/>
      <c r="M1022" s="295"/>
      <c r="N1022" s="295"/>
      <c r="O1022" s="295"/>
      <c r="P1022" s="295"/>
      <c r="Q1022" s="296"/>
      <c r="R1022" s="227"/>
      <c r="S1022" s="228" t="e">
        <f>IF(C1022="",NA(),MATCH($B1022&amp;$C1022,'Smelter Reference List'!$J:$J,0))</f>
        <v>#N/A</v>
      </c>
      <c r="T1022" s="229"/>
      <c r="U1022" s="229">
        <f t="shared" ca="1" si="32"/>
        <v>0</v>
      </c>
      <c r="V1022" s="229"/>
      <c r="W1022" s="229"/>
      <c r="Y1022" s="223" t="str">
        <f t="shared" si="33"/>
        <v/>
      </c>
    </row>
    <row r="1023" spans="1:25" s="223" customFormat="1" ht="20.25">
      <c r="A1023" s="291"/>
      <c r="B1023" s="292" t="str">
        <f>IF(LEN(A1023)=0,"",INDEX('Smelter Reference List'!$A:$A,MATCH($A1023,'Smelter Reference List'!$E:$E,0)))</f>
        <v/>
      </c>
      <c r="C1023" s="298" t="str">
        <f>IF(LEN(A1023)=0,"",INDEX('Smelter Reference List'!$C:$C,MATCH($A1023,'Smelter Reference List'!$E:$E,0)))</f>
        <v/>
      </c>
      <c r="D1023" s="292" t="str">
        <f ca="1">IF(ISERROR($S1023),"",OFFSET('Smelter Reference List'!$C$4,$S1023-4,0)&amp;"")</f>
        <v/>
      </c>
      <c r="E1023" s="292" t="str">
        <f ca="1">IF(ISERROR($S1023),"",OFFSET('Smelter Reference List'!$D$4,$S1023-4,0)&amp;"")</f>
        <v/>
      </c>
      <c r="F1023" s="292" t="str">
        <f ca="1">IF(ISERROR($S1023),"",OFFSET('Smelter Reference List'!$E$4,$S1023-4,0))</f>
        <v/>
      </c>
      <c r="G1023" s="292" t="str">
        <f ca="1">IF(C1023=$U$4,"Enter smelter details", IF(ISERROR($S1023),"",OFFSET('Smelter Reference List'!$F$4,$S1023-4,0)))</f>
        <v/>
      </c>
      <c r="H1023" s="293" t="str">
        <f ca="1">IF(ISERROR($S1023),"",OFFSET('Smelter Reference List'!$G$4,$S1023-4,0))</f>
        <v/>
      </c>
      <c r="I1023" s="294" t="str">
        <f ca="1">IF(ISERROR($S1023),"",OFFSET('Smelter Reference List'!$H$4,$S1023-4,0))</f>
        <v/>
      </c>
      <c r="J1023" s="294" t="str">
        <f ca="1">IF(ISERROR($S1023),"",OFFSET('Smelter Reference List'!$I$4,$S1023-4,0))</f>
        <v/>
      </c>
      <c r="K1023" s="295"/>
      <c r="L1023" s="295"/>
      <c r="M1023" s="295"/>
      <c r="N1023" s="295"/>
      <c r="O1023" s="295"/>
      <c r="P1023" s="295"/>
      <c r="Q1023" s="296"/>
      <c r="R1023" s="227"/>
      <c r="S1023" s="228" t="e">
        <f>IF(C1023="",NA(),MATCH($B1023&amp;$C1023,'Smelter Reference List'!$J:$J,0))</f>
        <v>#N/A</v>
      </c>
      <c r="T1023" s="229"/>
      <c r="U1023" s="229">
        <f t="shared" ca="1" si="32"/>
        <v>0</v>
      </c>
      <c r="V1023" s="229"/>
      <c r="W1023" s="229"/>
      <c r="Y1023" s="223" t="str">
        <f t="shared" si="33"/>
        <v/>
      </c>
    </row>
    <row r="1024" spans="1:25" s="223" customFormat="1" ht="20.25">
      <c r="A1024" s="291"/>
      <c r="B1024" s="292" t="str">
        <f>IF(LEN(A1024)=0,"",INDEX('Smelter Reference List'!$A:$A,MATCH($A1024,'Smelter Reference List'!$E:$E,0)))</f>
        <v/>
      </c>
      <c r="C1024" s="298" t="str">
        <f>IF(LEN(A1024)=0,"",INDEX('Smelter Reference List'!$C:$C,MATCH($A1024,'Smelter Reference List'!$E:$E,0)))</f>
        <v/>
      </c>
      <c r="D1024" s="292" t="str">
        <f ca="1">IF(ISERROR($S1024),"",OFFSET('Smelter Reference List'!$C$4,$S1024-4,0)&amp;"")</f>
        <v/>
      </c>
      <c r="E1024" s="292" t="str">
        <f ca="1">IF(ISERROR($S1024),"",OFFSET('Smelter Reference List'!$D$4,$S1024-4,0)&amp;"")</f>
        <v/>
      </c>
      <c r="F1024" s="292" t="str">
        <f ca="1">IF(ISERROR($S1024),"",OFFSET('Smelter Reference List'!$E$4,$S1024-4,0))</f>
        <v/>
      </c>
      <c r="G1024" s="292" t="str">
        <f ca="1">IF(C1024=$U$4,"Enter smelter details", IF(ISERROR($S1024),"",OFFSET('Smelter Reference List'!$F$4,$S1024-4,0)))</f>
        <v/>
      </c>
      <c r="H1024" s="293" t="str">
        <f ca="1">IF(ISERROR($S1024),"",OFFSET('Smelter Reference List'!$G$4,$S1024-4,0))</f>
        <v/>
      </c>
      <c r="I1024" s="294" t="str">
        <f ca="1">IF(ISERROR($S1024),"",OFFSET('Smelter Reference List'!$H$4,$S1024-4,0))</f>
        <v/>
      </c>
      <c r="J1024" s="294" t="str">
        <f ca="1">IF(ISERROR($S1024),"",OFFSET('Smelter Reference List'!$I$4,$S1024-4,0))</f>
        <v/>
      </c>
      <c r="K1024" s="295"/>
      <c r="L1024" s="295"/>
      <c r="M1024" s="295"/>
      <c r="N1024" s="295"/>
      <c r="O1024" s="295"/>
      <c r="P1024" s="295"/>
      <c r="Q1024" s="296"/>
      <c r="R1024" s="227"/>
      <c r="S1024" s="228" t="e">
        <f>IF(C1024="",NA(),MATCH($B1024&amp;$C1024,'Smelter Reference List'!$J:$J,0))</f>
        <v>#N/A</v>
      </c>
      <c r="T1024" s="229"/>
      <c r="U1024" s="229">
        <f t="shared" ca="1" si="32"/>
        <v>0</v>
      </c>
      <c r="V1024" s="229"/>
      <c r="W1024" s="229"/>
      <c r="Y1024" s="223" t="str">
        <f t="shared" si="33"/>
        <v/>
      </c>
    </row>
    <row r="1025" spans="1:25" s="223" customFormat="1" ht="20.25">
      <c r="A1025" s="291"/>
      <c r="B1025" s="292" t="str">
        <f>IF(LEN(A1025)=0,"",INDEX('Smelter Reference List'!$A:$A,MATCH($A1025,'Smelter Reference List'!$E:$E,0)))</f>
        <v/>
      </c>
      <c r="C1025" s="298" t="str">
        <f>IF(LEN(A1025)=0,"",INDEX('Smelter Reference List'!$C:$C,MATCH($A1025,'Smelter Reference List'!$E:$E,0)))</f>
        <v/>
      </c>
      <c r="D1025" s="292" t="str">
        <f ca="1">IF(ISERROR($S1025),"",OFFSET('Smelter Reference List'!$C$4,$S1025-4,0)&amp;"")</f>
        <v/>
      </c>
      <c r="E1025" s="292" t="str">
        <f ca="1">IF(ISERROR($S1025),"",OFFSET('Smelter Reference List'!$D$4,$S1025-4,0)&amp;"")</f>
        <v/>
      </c>
      <c r="F1025" s="292" t="str">
        <f ca="1">IF(ISERROR($S1025),"",OFFSET('Smelter Reference List'!$E$4,$S1025-4,0))</f>
        <v/>
      </c>
      <c r="G1025" s="292" t="str">
        <f ca="1">IF(C1025=$U$4,"Enter smelter details", IF(ISERROR($S1025),"",OFFSET('Smelter Reference List'!$F$4,$S1025-4,0)))</f>
        <v/>
      </c>
      <c r="H1025" s="293" t="str">
        <f ca="1">IF(ISERROR($S1025),"",OFFSET('Smelter Reference List'!$G$4,$S1025-4,0))</f>
        <v/>
      </c>
      <c r="I1025" s="294" t="str">
        <f ca="1">IF(ISERROR($S1025),"",OFFSET('Smelter Reference List'!$H$4,$S1025-4,0))</f>
        <v/>
      </c>
      <c r="J1025" s="294" t="str">
        <f ca="1">IF(ISERROR($S1025),"",OFFSET('Smelter Reference List'!$I$4,$S1025-4,0))</f>
        <v/>
      </c>
      <c r="K1025" s="295"/>
      <c r="L1025" s="295"/>
      <c r="M1025" s="295"/>
      <c r="N1025" s="295"/>
      <c r="O1025" s="295"/>
      <c r="P1025" s="295"/>
      <c r="Q1025" s="296"/>
      <c r="R1025" s="227"/>
      <c r="S1025" s="228" t="e">
        <f>IF(C1025="",NA(),MATCH($B1025&amp;$C1025,'Smelter Reference List'!$J:$J,0))</f>
        <v>#N/A</v>
      </c>
      <c r="T1025" s="229"/>
      <c r="U1025" s="229">
        <f t="shared" ca="1" si="32"/>
        <v>0</v>
      </c>
      <c r="V1025" s="229"/>
      <c r="W1025" s="229"/>
      <c r="Y1025" s="223" t="str">
        <f t="shared" si="33"/>
        <v/>
      </c>
    </row>
    <row r="1026" spans="1:25" s="223" customFormat="1" ht="20.25">
      <c r="A1026" s="291"/>
      <c r="B1026" s="292" t="str">
        <f>IF(LEN(A1026)=0,"",INDEX('Smelter Reference List'!$A:$A,MATCH($A1026,'Smelter Reference List'!$E:$E,0)))</f>
        <v/>
      </c>
      <c r="C1026" s="298" t="str">
        <f>IF(LEN(A1026)=0,"",INDEX('Smelter Reference List'!$C:$C,MATCH($A1026,'Smelter Reference List'!$E:$E,0)))</f>
        <v/>
      </c>
      <c r="D1026" s="292" t="str">
        <f ca="1">IF(ISERROR($S1026),"",OFFSET('Smelter Reference List'!$C$4,$S1026-4,0)&amp;"")</f>
        <v/>
      </c>
      <c r="E1026" s="292" t="str">
        <f ca="1">IF(ISERROR($S1026),"",OFFSET('Smelter Reference List'!$D$4,$S1026-4,0)&amp;"")</f>
        <v/>
      </c>
      <c r="F1026" s="292" t="str">
        <f ca="1">IF(ISERROR($S1026),"",OFFSET('Smelter Reference List'!$E$4,$S1026-4,0))</f>
        <v/>
      </c>
      <c r="G1026" s="292" t="str">
        <f ca="1">IF(C1026=$U$4,"Enter smelter details", IF(ISERROR($S1026),"",OFFSET('Smelter Reference List'!$F$4,$S1026-4,0)))</f>
        <v/>
      </c>
      <c r="H1026" s="293" t="str">
        <f ca="1">IF(ISERROR($S1026),"",OFFSET('Smelter Reference List'!$G$4,$S1026-4,0))</f>
        <v/>
      </c>
      <c r="I1026" s="294" t="str">
        <f ca="1">IF(ISERROR($S1026),"",OFFSET('Smelter Reference List'!$H$4,$S1026-4,0))</f>
        <v/>
      </c>
      <c r="J1026" s="294" t="str">
        <f ca="1">IF(ISERROR($S1026),"",OFFSET('Smelter Reference List'!$I$4,$S1026-4,0))</f>
        <v/>
      </c>
      <c r="K1026" s="295"/>
      <c r="L1026" s="295"/>
      <c r="M1026" s="295"/>
      <c r="N1026" s="295"/>
      <c r="O1026" s="295"/>
      <c r="P1026" s="295"/>
      <c r="Q1026" s="296"/>
      <c r="R1026" s="227"/>
      <c r="S1026" s="228" t="e">
        <f>IF(C1026="",NA(),MATCH($B1026&amp;$C1026,'Smelter Reference List'!$J:$J,0))</f>
        <v>#N/A</v>
      </c>
      <c r="T1026" s="229"/>
      <c r="U1026" s="229">
        <f t="shared" ca="1" si="32"/>
        <v>0</v>
      </c>
      <c r="V1026" s="229"/>
      <c r="W1026" s="229"/>
      <c r="Y1026" s="223" t="str">
        <f t="shared" si="33"/>
        <v/>
      </c>
    </row>
    <row r="1027" spans="1:25" s="223" customFormat="1" ht="20.25">
      <c r="A1027" s="291"/>
      <c r="B1027" s="292" t="str">
        <f>IF(LEN(A1027)=0,"",INDEX('Smelter Reference List'!$A:$A,MATCH($A1027,'Smelter Reference List'!$E:$E,0)))</f>
        <v/>
      </c>
      <c r="C1027" s="298" t="str">
        <f>IF(LEN(A1027)=0,"",INDEX('Smelter Reference List'!$C:$C,MATCH($A1027,'Smelter Reference List'!$E:$E,0)))</f>
        <v/>
      </c>
      <c r="D1027" s="292" t="str">
        <f ca="1">IF(ISERROR($S1027),"",OFFSET('Smelter Reference List'!$C$4,$S1027-4,0)&amp;"")</f>
        <v/>
      </c>
      <c r="E1027" s="292" t="str">
        <f ca="1">IF(ISERROR($S1027),"",OFFSET('Smelter Reference List'!$D$4,$S1027-4,0)&amp;"")</f>
        <v/>
      </c>
      <c r="F1027" s="292" t="str">
        <f ca="1">IF(ISERROR($S1027),"",OFFSET('Smelter Reference List'!$E$4,$S1027-4,0))</f>
        <v/>
      </c>
      <c r="G1027" s="292" t="str">
        <f ca="1">IF(C1027=$U$4,"Enter smelter details", IF(ISERROR($S1027),"",OFFSET('Smelter Reference List'!$F$4,$S1027-4,0)))</f>
        <v/>
      </c>
      <c r="H1027" s="293" t="str">
        <f ca="1">IF(ISERROR($S1027),"",OFFSET('Smelter Reference List'!$G$4,$S1027-4,0))</f>
        <v/>
      </c>
      <c r="I1027" s="294" t="str">
        <f ca="1">IF(ISERROR($S1027),"",OFFSET('Smelter Reference List'!$H$4,$S1027-4,0))</f>
        <v/>
      </c>
      <c r="J1027" s="294" t="str">
        <f ca="1">IF(ISERROR($S1027),"",OFFSET('Smelter Reference List'!$I$4,$S1027-4,0))</f>
        <v/>
      </c>
      <c r="K1027" s="295"/>
      <c r="L1027" s="295"/>
      <c r="M1027" s="295"/>
      <c r="N1027" s="295"/>
      <c r="O1027" s="295"/>
      <c r="P1027" s="295"/>
      <c r="Q1027" s="296"/>
      <c r="R1027" s="227"/>
      <c r="S1027" s="228" t="e">
        <f>IF(C1027="",NA(),MATCH($B1027&amp;$C1027,'Smelter Reference List'!$J:$J,0))</f>
        <v>#N/A</v>
      </c>
      <c r="T1027" s="229"/>
      <c r="U1027" s="229">
        <f t="shared" ca="1" si="32"/>
        <v>0</v>
      </c>
      <c r="V1027" s="229"/>
      <c r="W1027" s="229"/>
      <c r="Y1027" s="223" t="str">
        <f t="shared" si="33"/>
        <v/>
      </c>
    </row>
    <row r="1028" spans="1:25" s="223" customFormat="1" ht="20.25">
      <c r="A1028" s="291"/>
      <c r="B1028" s="292" t="str">
        <f>IF(LEN(A1028)=0,"",INDEX('Smelter Reference List'!$A:$A,MATCH($A1028,'Smelter Reference List'!$E:$E,0)))</f>
        <v/>
      </c>
      <c r="C1028" s="298" t="str">
        <f>IF(LEN(A1028)=0,"",INDEX('Smelter Reference List'!$C:$C,MATCH($A1028,'Smelter Reference List'!$E:$E,0)))</f>
        <v/>
      </c>
      <c r="D1028" s="292" t="str">
        <f ca="1">IF(ISERROR($S1028),"",OFFSET('Smelter Reference List'!$C$4,$S1028-4,0)&amp;"")</f>
        <v/>
      </c>
      <c r="E1028" s="292" t="str">
        <f ca="1">IF(ISERROR($S1028),"",OFFSET('Smelter Reference List'!$D$4,$S1028-4,0)&amp;"")</f>
        <v/>
      </c>
      <c r="F1028" s="292" t="str">
        <f ca="1">IF(ISERROR($S1028),"",OFFSET('Smelter Reference List'!$E$4,$S1028-4,0))</f>
        <v/>
      </c>
      <c r="G1028" s="292" t="str">
        <f ca="1">IF(C1028=$U$4,"Enter smelter details", IF(ISERROR($S1028),"",OFFSET('Smelter Reference List'!$F$4,$S1028-4,0)))</f>
        <v/>
      </c>
      <c r="H1028" s="293" t="str">
        <f ca="1">IF(ISERROR($S1028),"",OFFSET('Smelter Reference List'!$G$4,$S1028-4,0))</f>
        <v/>
      </c>
      <c r="I1028" s="294" t="str">
        <f ca="1">IF(ISERROR($S1028),"",OFFSET('Smelter Reference List'!$H$4,$S1028-4,0))</f>
        <v/>
      </c>
      <c r="J1028" s="294" t="str">
        <f ca="1">IF(ISERROR($S1028),"",OFFSET('Smelter Reference List'!$I$4,$S1028-4,0))</f>
        <v/>
      </c>
      <c r="K1028" s="295"/>
      <c r="L1028" s="295"/>
      <c r="M1028" s="295"/>
      <c r="N1028" s="295"/>
      <c r="O1028" s="295"/>
      <c r="P1028" s="295"/>
      <c r="Q1028" s="296"/>
      <c r="R1028" s="227"/>
      <c r="S1028" s="228" t="e">
        <f>IF(C1028="",NA(),MATCH($B1028&amp;$C1028,'Smelter Reference List'!$J:$J,0))</f>
        <v>#N/A</v>
      </c>
      <c r="T1028" s="229"/>
      <c r="U1028" s="229">
        <f t="shared" ca="1" si="32"/>
        <v>0</v>
      </c>
      <c r="V1028" s="229"/>
      <c r="W1028" s="229"/>
      <c r="Y1028" s="223" t="str">
        <f t="shared" si="33"/>
        <v/>
      </c>
    </row>
    <row r="1029" spans="1:25" s="223" customFormat="1" ht="20.25">
      <c r="A1029" s="291"/>
      <c r="B1029" s="292" t="str">
        <f>IF(LEN(A1029)=0,"",INDEX('Smelter Reference List'!$A:$A,MATCH($A1029,'Smelter Reference List'!$E:$E,0)))</f>
        <v/>
      </c>
      <c r="C1029" s="298" t="str">
        <f>IF(LEN(A1029)=0,"",INDEX('Smelter Reference List'!$C:$C,MATCH($A1029,'Smelter Reference List'!$E:$E,0)))</f>
        <v/>
      </c>
      <c r="D1029" s="292" t="str">
        <f ca="1">IF(ISERROR($S1029),"",OFFSET('Smelter Reference List'!$C$4,$S1029-4,0)&amp;"")</f>
        <v/>
      </c>
      <c r="E1029" s="292" t="str">
        <f ca="1">IF(ISERROR($S1029),"",OFFSET('Smelter Reference List'!$D$4,$S1029-4,0)&amp;"")</f>
        <v/>
      </c>
      <c r="F1029" s="292" t="str">
        <f ca="1">IF(ISERROR($S1029),"",OFFSET('Smelter Reference List'!$E$4,$S1029-4,0))</f>
        <v/>
      </c>
      <c r="G1029" s="292" t="str">
        <f ca="1">IF(C1029=$U$4,"Enter smelter details", IF(ISERROR($S1029),"",OFFSET('Smelter Reference List'!$F$4,$S1029-4,0)))</f>
        <v/>
      </c>
      <c r="H1029" s="293" t="str">
        <f ca="1">IF(ISERROR($S1029),"",OFFSET('Smelter Reference List'!$G$4,$S1029-4,0))</f>
        <v/>
      </c>
      <c r="I1029" s="294" t="str">
        <f ca="1">IF(ISERROR($S1029),"",OFFSET('Smelter Reference List'!$H$4,$S1029-4,0))</f>
        <v/>
      </c>
      <c r="J1029" s="294" t="str">
        <f ca="1">IF(ISERROR($S1029),"",OFFSET('Smelter Reference List'!$I$4,$S1029-4,0))</f>
        <v/>
      </c>
      <c r="K1029" s="295"/>
      <c r="L1029" s="295"/>
      <c r="M1029" s="295"/>
      <c r="N1029" s="295"/>
      <c r="O1029" s="295"/>
      <c r="P1029" s="295"/>
      <c r="Q1029" s="296"/>
      <c r="R1029" s="227"/>
      <c r="S1029" s="228" t="e">
        <f>IF(C1029="",NA(),MATCH($B1029&amp;$C1029,'Smelter Reference List'!$J:$J,0))</f>
        <v>#N/A</v>
      </c>
      <c r="T1029" s="229"/>
      <c r="U1029" s="229">
        <f t="shared" ref="U1029:U1092" ca="1" si="34">IF(AND(C1029="Smelter not listed",OR(LEN(D1029)=0,LEN(E1029)=0)),1,0)</f>
        <v>0</v>
      </c>
      <c r="V1029" s="229"/>
      <c r="W1029" s="229"/>
      <c r="Y1029" s="223" t="str">
        <f t="shared" ref="Y1029:Y1092" si="35">B1029&amp;C1029</f>
        <v/>
      </c>
    </row>
    <row r="1030" spans="1:25" s="223" customFormat="1" ht="20.25">
      <c r="A1030" s="291"/>
      <c r="B1030" s="292" t="str">
        <f>IF(LEN(A1030)=0,"",INDEX('Smelter Reference List'!$A:$A,MATCH($A1030,'Smelter Reference List'!$E:$E,0)))</f>
        <v/>
      </c>
      <c r="C1030" s="298" t="str">
        <f>IF(LEN(A1030)=0,"",INDEX('Smelter Reference List'!$C:$C,MATCH($A1030,'Smelter Reference List'!$E:$E,0)))</f>
        <v/>
      </c>
      <c r="D1030" s="292" t="str">
        <f ca="1">IF(ISERROR($S1030),"",OFFSET('Smelter Reference List'!$C$4,$S1030-4,0)&amp;"")</f>
        <v/>
      </c>
      <c r="E1030" s="292" t="str">
        <f ca="1">IF(ISERROR($S1030),"",OFFSET('Smelter Reference List'!$D$4,$S1030-4,0)&amp;"")</f>
        <v/>
      </c>
      <c r="F1030" s="292" t="str">
        <f ca="1">IF(ISERROR($S1030),"",OFFSET('Smelter Reference List'!$E$4,$S1030-4,0))</f>
        <v/>
      </c>
      <c r="G1030" s="292" t="str">
        <f ca="1">IF(C1030=$U$4,"Enter smelter details", IF(ISERROR($S1030),"",OFFSET('Smelter Reference List'!$F$4,$S1030-4,0)))</f>
        <v/>
      </c>
      <c r="H1030" s="293" t="str">
        <f ca="1">IF(ISERROR($S1030),"",OFFSET('Smelter Reference List'!$G$4,$S1030-4,0))</f>
        <v/>
      </c>
      <c r="I1030" s="294" t="str">
        <f ca="1">IF(ISERROR($S1030),"",OFFSET('Smelter Reference List'!$H$4,$S1030-4,0))</f>
        <v/>
      </c>
      <c r="J1030" s="294" t="str">
        <f ca="1">IF(ISERROR($S1030),"",OFFSET('Smelter Reference List'!$I$4,$S1030-4,0))</f>
        <v/>
      </c>
      <c r="K1030" s="295"/>
      <c r="L1030" s="295"/>
      <c r="M1030" s="295"/>
      <c r="N1030" s="295"/>
      <c r="O1030" s="295"/>
      <c r="P1030" s="295"/>
      <c r="Q1030" s="296"/>
      <c r="R1030" s="227"/>
      <c r="S1030" s="228" t="e">
        <f>IF(C1030="",NA(),MATCH($B1030&amp;$C1030,'Smelter Reference List'!$J:$J,0))</f>
        <v>#N/A</v>
      </c>
      <c r="T1030" s="229"/>
      <c r="U1030" s="229">
        <f t="shared" ca="1" si="34"/>
        <v>0</v>
      </c>
      <c r="V1030" s="229"/>
      <c r="W1030" s="229"/>
      <c r="Y1030" s="223" t="str">
        <f t="shared" si="35"/>
        <v/>
      </c>
    </row>
    <row r="1031" spans="1:25" s="223" customFormat="1" ht="20.25">
      <c r="A1031" s="291"/>
      <c r="B1031" s="292" t="str">
        <f>IF(LEN(A1031)=0,"",INDEX('Smelter Reference List'!$A:$A,MATCH($A1031,'Smelter Reference List'!$E:$E,0)))</f>
        <v/>
      </c>
      <c r="C1031" s="298" t="str">
        <f>IF(LEN(A1031)=0,"",INDEX('Smelter Reference List'!$C:$C,MATCH($A1031,'Smelter Reference List'!$E:$E,0)))</f>
        <v/>
      </c>
      <c r="D1031" s="292" t="str">
        <f ca="1">IF(ISERROR($S1031),"",OFFSET('Smelter Reference List'!$C$4,$S1031-4,0)&amp;"")</f>
        <v/>
      </c>
      <c r="E1031" s="292" t="str">
        <f ca="1">IF(ISERROR($S1031),"",OFFSET('Smelter Reference List'!$D$4,$S1031-4,0)&amp;"")</f>
        <v/>
      </c>
      <c r="F1031" s="292" t="str">
        <f ca="1">IF(ISERROR($S1031),"",OFFSET('Smelter Reference List'!$E$4,$S1031-4,0))</f>
        <v/>
      </c>
      <c r="G1031" s="292" t="str">
        <f ca="1">IF(C1031=$U$4,"Enter smelter details", IF(ISERROR($S1031),"",OFFSET('Smelter Reference List'!$F$4,$S1031-4,0)))</f>
        <v/>
      </c>
      <c r="H1031" s="293" t="str">
        <f ca="1">IF(ISERROR($S1031),"",OFFSET('Smelter Reference List'!$G$4,$S1031-4,0))</f>
        <v/>
      </c>
      <c r="I1031" s="294" t="str">
        <f ca="1">IF(ISERROR($S1031),"",OFFSET('Smelter Reference List'!$H$4,$S1031-4,0))</f>
        <v/>
      </c>
      <c r="J1031" s="294" t="str">
        <f ca="1">IF(ISERROR($S1031),"",OFFSET('Smelter Reference List'!$I$4,$S1031-4,0))</f>
        <v/>
      </c>
      <c r="K1031" s="295"/>
      <c r="L1031" s="295"/>
      <c r="M1031" s="295"/>
      <c r="N1031" s="295"/>
      <c r="O1031" s="295"/>
      <c r="P1031" s="295"/>
      <c r="Q1031" s="296"/>
      <c r="R1031" s="227"/>
      <c r="S1031" s="228" t="e">
        <f>IF(C1031="",NA(),MATCH($B1031&amp;$C1031,'Smelter Reference List'!$J:$J,0))</f>
        <v>#N/A</v>
      </c>
      <c r="T1031" s="229"/>
      <c r="U1031" s="229">
        <f t="shared" ca="1" si="34"/>
        <v>0</v>
      </c>
      <c r="V1031" s="229"/>
      <c r="W1031" s="229"/>
      <c r="Y1031" s="223" t="str">
        <f t="shared" si="35"/>
        <v/>
      </c>
    </row>
    <row r="1032" spans="1:25" s="223" customFormat="1" ht="20.25">
      <c r="A1032" s="291"/>
      <c r="B1032" s="292" t="str">
        <f>IF(LEN(A1032)=0,"",INDEX('Smelter Reference List'!$A:$A,MATCH($A1032,'Smelter Reference List'!$E:$E,0)))</f>
        <v/>
      </c>
      <c r="C1032" s="298" t="str">
        <f>IF(LEN(A1032)=0,"",INDEX('Smelter Reference List'!$C:$C,MATCH($A1032,'Smelter Reference List'!$E:$E,0)))</f>
        <v/>
      </c>
      <c r="D1032" s="292" t="str">
        <f ca="1">IF(ISERROR($S1032),"",OFFSET('Smelter Reference List'!$C$4,$S1032-4,0)&amp;"")</f>
        <v/>
      </c>
      <c r="E1032" s="292" t="str">
        <f ca="1">IF(ISERROR($S1032),"",OFFSET('Smelter Reference List'!$D$4,$S1032-4,0)&amp;"")</f>
        <v/>
      </c>
      <c r="F1032" s="292" t="str">
        <f ca="1">IF(ISERROR($S1032),"",OFFSET('Smelter Reference List'!$E$4,$S1032-4,0))</f>
        <v/>
      </c>
      <c r="G1032" s="292" t="str">
        <f ca="1">IF(C1032=$U$4,"Enter smelter details", IF(ISERROR($S1032),"",OFFSET('Smelter Reference List'!$F$4,$S1032-4,0)))</f>
        <v/>
      </c>
      <c r="H1032" s="293" t="str">
        <f ca="1">IF(ISERROR($S1032),"",OFFSET('Smelter Reference List'!$G$4,$S1032-4,0))</f>
        <v/>
      </c>
      <c r="I1032" s="294" t="str">
        <f ca="1">IF(ISERROR($S1032),"",OFFSET('Smelter Reference List'!$H$4,$S1032-4,0))</f>
        <v/>
      </c>
      <c r="J1032" s="294" t="str">
        <f ca="1">IF(ISERROR($S1032),"",OFFSET('Smelter Reference List'!$I$4,$S1032-4,0))</f>
        <v/>
      </c>
      <c r="K1032" s="295"/>
      <c r="L1032" s="295"/>
      <c r="M1032" s="295"/>
      <c r="N1032" s="295"/>
      <c r="O1032" s="295"/>
      <c r="P1032" s="295"/>
      <c r="Q1032" s="296"/>
      <c r="R1032" s="227"/>
      <c r="S1032" s="228" t="e">
        <f>IF(C1032="",NA(),MATCH($B1032&amp;$C1032,'Smelter Reference List'!$J:$J,0))</f>
        <v>#N/A</v>
      </c>
      <c r="T1032" s="229"/>
      <c r="U1032" s="229">
        <f t="shared" ca="1" si="34"/>
        <v>0</v>
      </c>
      <c r="V1032" s="229"/>
      <c r="W1032" s="229"/>
      <c r="Y1032" s="223" t="str">
        <f t="shared" si="35"/>
        <v/>
      </c>
    </row>
    <row r="1033" spans="1:25" s="223" customFormat="1" ht="20.25">
      <c r="A1033" s="291"/>
      <c r="B1033" s="292" t="str">
        <f>IF(LEN(A1033)=0,"",INDEX('Smelter Reference List'!$A:$A,MATCH($A1033,'Smelter Reference List'!$E:$E,0)))</f>
        <v/>
      </c>
      <c r="C1033" s="298" t="str">
        <f>IF(LEN(A1033)=0,"",INDEX('Smelter Reference List'!$C:$C,MATCH($A1033,'Smelter Reference List'!$E:$E,0)))</f>
        <v/>
      </c>
      <c r="D1033" s="292" t="str">
        <f ca="1">IF(ISERROR($S1033),"",OFFSET('Smelter Reference List'!$C$4,$S1033-4,0)&amp;"")</f>
        <v/>
      </c>
      <c r="E1033" s="292" t="str">
        <f ca="1">IF(ISERROR($S1033),"",OFFSET('Smelter Reference List'!$D$4,$S1033-4,0)&amp;"")</f>
        <v/>
      </c>
      <c r="F1033" s="292" t="str">
        <f ca="1">IF(ISERROR($S1033),"",OFFSET('Smelter Reference List'!$E$4,$S1033-4,0))</f>
        <v/>
      </c>
      <c r="G1033" s="292" t="str">
        <f ca="1">IF(C1033=$U$4,"Enter smelter details", IF(ISERROR($S1033),"",OFFSET('Smelter Reference List'!$F$4,$S1033-4,0)))</f>
        <v/>
      </c>
      <c r="H1033" s="293" t="str">
        <f ca="1">IF(ISERROR($S1033),"",OFFSET('Smelter Reference List'!$G$4,$S1033-4,0))</f>
        <v/>
      </c>
      <c r="I1033" s="294" t="str">
        <f ca="1">IF(ISERROR($S1033),"",OFFSET('Smelter Reference List'!$H$4,$S1033-4,0))</f>
        <v/>
      </c>
      <c r="J1033" s="294" t="str">
        <f ca="1">IF(ISERROR($S1033),"",OFFSET('Smelter Reference List'!$I$4,$S1033-4,0))</f>
        <v/>
      </c>
      <c r="K1033" s="295"/>
      <c r="L1033" s="295"/>
      <c r="M1033" s="295"/>
      <c r="N1033" s="295"/>
      <c r="O1033" s="295"/>
      <c r="P1033" s="295"/>
      <c r="Q1033" s="296"/>
      <c r="R1033" s="227"/>
      <c r="S1033" s="228" t="e">
        <f>IF(C1033="",NA(),MATCH($B1033&amp;$C1033,'Smelter Reference List'!$J:$J,0))</f>
        <v>#N/A</v>
      </c>
      <c r="T1033" s="229"/>
      <c r="U1033" s="229">
        <f t="shared" ca="1" si="34"/>
        <v>0</v>
      </c>
      <c r="V1033" s="229"/>
      <c r="W1033" s="229"/>
      <c r="Y1033" s="223" t="str">
        <f t="shared" si="35"/>
        <v/>
      </c>
    </row>
    <row r="1034" spans="1:25" s="223" customFormat="1" ht="20.25">
      <c r="A1034" s="291"/>
      <c r="B1034" s="292" t="str">
        <f>IF(LEN(A1034)=0,"",INDEX('Smelter Reference List'!$A:$A,MATCH($A1034,'Smelter Reference List'!$E:$E,0)))</f>
        <v/>
      </c>
      <c r="C1034" s="298" t="str">
        <f>IF(LEN(A1034)=0,"",INDEX('Smelter Reference List'!$C:$C,MATCH($A1034,'Smelter Reference List'!$E:$E,0)))</f>
        <v/>
      </c>
      <c r="D1034" s="292" t="str">
        <f ca="1">IF(ISERROR($S1034),"",OFFSET('Smelter Reference List'!$C$4,$S1034-4,0)&amp;"")</f>
        <v/>
      </c>
      <c r="E1034" s="292" t="str">
        <f ca="1">IF(ISERROR($S1034),"",OFFSET('Smelter Reference List'!$D$4,$S1034-4,0)&amp;"")</f>
        <v/>
      </c>
      <c r="F1034" s="292" t="str">
        <f ca="1">IF(ISERROR($S1034),"",OFFSET('Smelter Reference List'!$E$4,$S1034-4,0))</f>
        <v/>
      </c>
      <c r="G1034" s="292" t="str">
        <f ca="1">IF(C1034=$U$4,"Enter smelter details", IF(ISERROR($S1034),"",OFFSET('Smelter Reference List'!$F$4,$S1034-4,0)))</f>
        <v/>
      </c>
      <c r="H1034" s="293" t="str">
        <f ca="1">IF(ISERROR($S1034),"",OFFSET('Smelter Reference List'!$G$4,$S1034-4,0))</f>
        <v/>
      </c>
      <c r="I1034" s="294" t="str">
        <f ca="1">IF(ISERROR($S1034),"",OFFSET('Smelter Reference List'!$H$4,$S1034-4,0))</f>
        <v/>
      </c>
      <c r="J1034" s="294" t="str">
        <f ca="1">IF(ISERROR($S1034),"",OFFSET('Smelter Reference List'!$I$4,$S1034-4,0))</f>
        <v/>
      </c>
      <c r="K1034" s="295"/>
      <c r="L1034" s="295"/>
      <c r="M1034" s="295"/>
      <c r="N1034" s="295"/>
      <c r="O1034" s="295"/>
      <c r="P1034" s="295"/>
      <c r="Q1034" s="296"/>
      <c r="R1034" s="227"/>
      <c r="S1034" s="228" t="e">
        <f>IF(C1034="",NA(),MATCH($B1034&amp;$C1034,'Smelter Reference List'!$J:$J,0))</f>
        <v>#N/A</v>
      </c>
      <c r="T1034" s="229"/>
      <c r="U1034" s="229">
        <f t="shared" ca="1" si="34"/>
        <v>0</v>
      </c>
      <c r="V1034" s="229"/>
      <c r="W1034" s="229"/>
      <c r="Y1034" s="223" t="str">
        <f t="shared" si="35"/>
        <v/>
      </c>
    </row>
    <row r="1035" spans="1:25" s="223" customFormat="1" ht="20.25">
      <c r="A1035" s="291"/>
      <c r="B1035" s="292" t="str">
        <f>IF(LEN(A1035)=0,"",INDEX('Smelter Reference List'!$A:$A,MATCH($A1035,'Smelter Reference List'!$E:$E,0)))</f>
        <v/>
      </c>
      <c r="C1035" s="298" t="str">
        <f>IF(LEN(A1035)=0,"",INDEX('Smelter Reference List'!$C:$C,MATCH($A1035,'Smelter Reference List'!$E:$E,0)))</f>
        <v/>
      </c>
      <c r="D1035" s="292" t="str">
        <f ca="1">IF(ISERROR($S1035),"",OFFSET('Smelter Reference List'!$C$4,$S1035-4,0)&amp;"")</f>
        <v/>
      </c>
      <c r="E1035" s="292" t="str">
        <f ca="1">IF(ISERROR($S1035),"",OFFSET('Smelter Reference List'!$D$4,$S1035-4,0)&amp;"")</f>
        <v/>
      </c>
      <c r="F1035" s="292" t="str">
        <f ca="1">IF(ISERROR($S1035),"",OFFSET('Smelter Reference List'!$E$4,$S1035-4,0))</f>
        <v/>
      </c>
      <c r="G1035" s="292" t="str">
        <f ca="1">IF(C1035=$U$4,"Enter smelter details", IF(ISERROR($S1035),"",OFFSET('Smelter Reference List'!$F$4,$S1035-4,0)))</f>
        <v/>
      </c>
      <c r="H1035" s="293" t="str">
        <f ca="1">IF(ISERROR($S1035),"",OFFSET('Smelter Reference List'!$G$4,$S1035-4,0))</f>
        <v/>
      </c>
      <c r="I1035" s="294" t="str">
        <f ca="1">IF(ISERROR($S1035),"",OFFSET('Smelter Reference List'!$H$4,$S1035-4,0))</f>
        <v/>
      </c>
      <c r="J1035" s="294" t="str">
        <f ca="1">IF(ISERROR($S1035),"",OFFSET('Smelter Reference List'!$I$4,$S1035-4,0))</f>
        <v/>
      </c>
      <c r="K1035" s="295"/>
      <c r="L1035" s="295"/>
      <c r="M1035" s="295"/>
      <c r="N1035" s="295"/>
      <c r="O1035" s="295"/>
      <c r="P1035" s="295"/>
      <c r="Q1035" s="296"/>
      <c r="R1035" s="227"/>
      <c r="S1035" s="228" t="e">
        <f>IF(C1035="",NA(),MATCH($B1035&amp;$C1035,'Smelter Reference List'!$J:$J,0))</f>
        <v>#N/A</v>
      </c>
      <c r="T1035" s="229"/>
      <c r="U1035" s="229">
        <f t="shared" ca="1" si="34"/>
        <v>0</v>
      </c>
      <c r="V1035" s="229"/>
      <c r="W1035" s="229"/>
      <c r="Y1035" s="223" t="str">
        <f t="shared" si="35"/>
        <v/>
      </c>
    </row>
    <row r="1036" spans="1:25" s="223" customFormat="1" ht="20.25">
      <c r="A1036" s="291"/>
      <c r="B1036" s="292" t="str">
        <f>IF(LEN(A1036)=0,"",INDEX('Smelter Reference List'!$A:$A,MATCH($A1036,'Smelter Reference List'!$E:$E,0)))</f>
        <v/>
      </c>
      <c r="C1036" s="298" t="str">
        <f>IF(LEN(A1036)=0,"",INDEX('Smelter Reference List'!$C:$C,MATCH($A1036,'Smelter Reference List'!$E:$E,0)))</f>
        <v/>
      </c>
      <c r="D1036" s="292" t="str">
        <f ca="1">IF(ISERROR($S1036),"",OFFSET('Smelter Reference List'!$C$4,$S1036-4,0)&amp;"")</f>
        <v/>
      </c>
      <c r="E1036" s="292" t="str">
        <f ca="1">IF(ISERROR($S1036),"",OFFSET('Smelter Reference List'!$D$4,$S1036-4,0)&amp;"")</f>
        <v/>
      </c>
      <c r="F1036" s="292" t="str">
        <f ca="1">IF(ISERROR($S1036),"",OFFSET('Smelter Reference List'!$E$4,$S1036-4,0))</f>
        <v/>
      </c>
      <c r="G1036" s="292" t="str">
        <f ca="1">IF(C1036=$U$4,"Enter smelter details", IF(ISERROR($S1036),"",OFFSET('Smelter Reference List'!$F$4,$S1036-4,0)))</f>
        <v/>
      </c>
      <c r="H1036" s="293" t="str">
        <f ca="1">IF(ISERROR($S1036),"",OFFSET('Smelter Reference List'!$G$4,$S1036-4,0))</f>
        <v/>
      </c>
      <c r="I1036" s="294" t="str">
        <f ca="1">IF(ISERROR($S1036),"",OFFSET('Smelter Reference List'!$H$4,$S1036-4,0))</f>
        <v/>
      </c>
      <c r="J1036" s="294" t="str">
        <f ca="1">IF(ISERROR($S1036),"",OFFSET('Smelter Reference List'!$I$4,$S1036-4,0))</f>
        <v/>
      </c>
      <c r="K1036" s="295"/>
      <c r="L1036" s="295"/>
      <c r="M1036" s="295"/>
      <c r="N1036" s="295"/>
      <c r="O1036" s="295"/>
      <c r="P1036" s="295"/>
      <c r="Q1036" s="296"/>
      <c r="R1036" s="227"/>
      <c r="S1036" s="228" t="e">
        <f>IF(C1036="",NA(),MATCH($B1036&amp;$C1036,'Smelter Reference List'!$J:$J,0))</f>
        <v>#N/A</v>
      </c>
      <c r="T1036" s="229"/>
      <c r="U1036" s="229">
        <f t="shared" ca="1" si="34"/>
        <v>0</v>
      </c>
      <c r="V1036" s="229"/>
      <c r="W1036" s="229"/>
      <c r="Y1036" s="223" t="str">
        <f t="shared" si="35"/>
        <v/>
      </c>
    </row>
    <row r="1037" spans="1:25" s="223" customFormat="1" ht="20.25">
      <c r="A1037" s="291"/>
      <c r="B1037" s="292" t="str">
        <f>IF(LEN(A1037)=0,"",INDEX('Smelter Reference List'!$A:$A,MATCH($A1037,'Smelter Reference List'!$E:$E,0)))</f>
        <v/>
      </c>
      <c r="C1037" s="298" t="str">
        <f>IF(LEN(A1037)=0,"",INDEX('Smelter Reference List'!$C:$C,MATCH($A1037,'Smelter Reference List'!$E:$E,0)))</f>
        <v/>
      </c>
      <c r="D1037" s="292" t="str">
        <f ca="1">IF(ISERROR($S1037),"",OFFSET('Smelter Reference List'!$C$4,$S1037-4,0)&amp;"")</f>
        <v/>
      </c>
      <c r="E1037" s="292" t="str">
        <f ca="1">IF(ISERROR($S1037),"",OFFSET('Smelter Reference List'!$D$4,$S1037-4,0)&amp;"")</f>
        <v/>
      </c>
      <c r="F1037" s="292" t="str">
        <f ca="1">IF(ISERROR($S1037),"",OFFSET('Smelter Reference List'!$E$4,$S1037-4,0))</f>
        <v/>
      </c>
      <c r="G1037" s="292" t="str">
        <f ca="1">IF(C1037=$U$4,"Enter smelter details", IF(ISERROR($S1037),"",OFFSET('Smelter Reference List'!$F$4,$S1037-4,0)))</f>
        <v/>
      </c>
      <c r="H1037" s="293" t="str">
        <f ca="1">IF(ISERROR($S1037),"",OFFSET('Smelter Reference List'!$G$4,$S1037-4,0))</f>
        <v/>
      </c>
      <c r="I1037" s="294" t="str">
        <f ca="1">IF(ISERROR($S1037),"",OFFSET('Smelter Reference List'!$H$4,$S1037-4,0))</f>
        <v/>
      </c>
      <c r="J1037" s="294" t="str">
        <f ca="1">IF(ISERROR($S1037),"",OFFSET('Smelter Reference List'!$I$4,$S1037-4,0))</f>
        <v/>
      </c>
      <c r="K1037" s="295"/>
      <c r="L1037" s="295"/>
      <c r="M1037" s="295"/>
      <c r="N1037" s="295"/>
      <c r="O1037" s="295"/>
      <c r="P1037" s="295"/>
      <c r="Q1037" s="296"/>
      <c r="R1037" s="227"/>
      <c r="S1037" s="228" t="e">
        <f>IF(C1037="",NA(),MATCH($B1037&amp;$C1037,'Smelter Reference List'!$J:$J,0))</f>
        <v>#N/A</v>
      </c>
      <c r="T1037" s="229"/>
      <c r="U1037" s="229">
        <f t="shared" ca="1" si="34"/>
        <v>0</v>
      </c>
      <c r="V1037" s="229"/>
      <c r="W1037" s="229"/>
      <c r="Y1037" s="223" t="str">
        <f t="shared" si="35"/>
        <v/>
      </c>
    </row>
    <row r="1038" spans="1:25" s="223" customFormat="1" ht="20.25">
      <c r="A1038" s="291"/>
      <c r="B1038" s="292" t="str">
        <f>IF(LEN(A1038)=0,"",INDEX('Smelter Reference List'!$A:$A,MATCH($A1038,'Smelter Reference List'!$E:$E,0)))</f>
        <v/>
      </c>
      <c r="C1038" s="298" t="str">
        <f>IF(LEN(A1038)=0,"",INDEX('Smelter Reference List'!$C:$C,MATCH($A1038,'Smelter Reference List'!$E:$E,0)))</f>
        <v/>
      </c>
      <c r="D1038" s="292" t="str">
        <f ca="1">IF(ISERROR($S1038),"",OFFSET('Smelter Reference List'!$C$4,$S1038-4,0)&amp;"")</f>
        <v/>
      </c>
      <c r="E1038" s="292" t="str">
        <f ca="1">IF(ISERROR($S1038),"",OFFSET('Smelter Reference List'!$D$4,$S1038-4,0)&amp;"")</f>
        <v/>
      </c>
      <c r="F1038" s="292" t="str">
        <f ca="1">IF(ISERROR($S1038),"",OFFSET('Smelter Reference List'!$E$4,$S1038-4,0))</f>
        <v/>
      </c>
      <c r="G1038" s="292" t="str">
        <f ca="1">IF(C1038=$U$4,"Enter smelter details", IF(ISERROR($S1038),"",OFFSET('Smelter Reference List'!$F$4,$S1038-4,0)))</f>
        <v/>
      </c>
      <c r="H1038" s="293" t="str">
        <f ca="1">IF(ISERROR($S1038),"",OFFSET('Smelter Reference List'!$G$4,$S1038-4,0))</f>
        <v/>
      </c>
      <c r="I1038" s="294" t="str">
        <f ca="1">IF(ISERROR($S1038),"",OFFSET('Smelter Reference List'!$H$4,$S1038-4,0))</f>
        <v/>
      </c>
      <c r="J1038" s="294" t="str">
        <f ca="1">IF(ISERROR($S1038),"",OFFSET('Smelter Reference List'!$I$4,$S1038-4,0))</f>
        <v/>
      </c>
      <c r="K1038" s="295"/>
      <c r="L1038" s="295"/>
      <c r="M1038" s="295"/>
      <c r="N1038" s="295"/>
      <c r="O1038" s="295"/>
      <c r="P1038" s="295"/>
      <c r="Q1038" s="296"/>
      <c r="R1038" s="227"/>
      <c r="S1038" s="228" t="e">
        <f>IF(C1038="",NA(),MATCH($B1038&amp;$C1038,'Smelter Reference List'!$J:$J,0))</f>
        <v>#N/A</v>
      </c>
      <c r="T1038" s="229"/>
      <c r="U1038" s="229">
        <f t="shared" ca="1" si="34"/>
        <v>0</v>
      </c>
      <c r="V1038" s="229"/>
      <c r="W1038" s="229"/>
      <c r="Y1038" s="223" t="str">
        <f t="shared" si="35"/>
        <v/>
      </c>
    </row>
    <row r="1039" spans="1:25" s="223" customFormat="1" ht="20.25">
      <c r="A1039" s="291"/>
      <c r="B1039" s="292" t="str">
        <f>IF(LEN(A1039)=0,"",INDEX('Smelter Reference List'!$A:$A,MATCH($A1039,'Smelter Reference List'!$E:$E,0)))</f>
        <v/>
      </c>
      <c r="C1039" s="298" t="str">
        <f>IF(LEN(A1039)=0,"",INDEX('Smelter Reference List'!$C:$C,MATCH($A1039,'Smelter Reference List'!$E:$E,0)))</f>
        <v/>
      </c>
      <c r="D1039" s="292" t="str">
        <f ca="1">IF(ISERROR($S1039),"",OFFSET('Smelter Reference List'!$C$4,$S1039-4,0)&amp;"")</f>
        <v/>
      </c>
      <c r="E1039" s="292" t="str">
        <f ca="1">IF(ISERROR($S1039),"",OFFSET('Smelter Reference List'!$D$4,$S1039-4,0)&amp;"")</f>
        <v/>
      </c>
      <c r="F1039" s="292" t="str">
        <f ca="1">IF(ISERROR($S1039),"",OFFSET('Smelter Reference List'!$E$4,$S1039-4,0))</f>
        <v/>
      </c>
      <c r="G1039" s="292" t="str">
        <f ca="1">IF(C1039=$U$4,"Enter smelter details", IF(ISERROR($S1039),"",OFFSET('Smelter Reference List'!$F$4,$S1039-4,0)))</f>
        <v/>
      </c>
      <c r="H1039" s="293" t="str">
        <f ca="1">IF(ISERROR($S1039),"",OFFSET('Smelter Reference List'!$G$4,$S1039-4,0))</f>
        <v/>
      </c>
      <c r="I1039" s="294" t="str">
        <f ca="1">IF(ISERROR($S1039),"",OFFSET('Smelter Reference List'!$H$4,$S1039-4,0))</f>
        <v/>
      </c>
      <c r="J1039" s="294" t="str">
        <f ca="1">IF(ISERROR($S1039),"",OFFSET('Smelter Reference List'!$I$4,$S1039-4,0))</f>
        <v/>
      </c>
      <c r="K1039" s="295"/>
      <c r="L1039" s="295"/>
      <c r="M1039" s="295"/>
      <c r="N1039" s="295"/>
      <c r="O1039" s="295"/>
      <c r="P1039" s="295"/>
      <c r="Q1039" s="296"/>
      <c r="R1039" s="227"/>
      <c r="S1039" s="228" t="e">
        <f>IF(C1039="",NA(),MATCH($B1039&amp;$C1039,'Smelter Reference List'!$J:$J,0))</f>
        <v>#N/A</v>
      </c>
      <c r="T1039" s="229"/>
      <c r="U1039" s="229">
        <f t="shared" ca="1" si="34"/>
        <v>0</v>
      </c>
      <c r="V1039" s="229"/>
      <c r="W1039" s="229"/>
      <c r="Y1039" s="223" t="str">
        <f t="shared" si="35"/>
        <v/>
      </c>
    </row>
    <row r="1040" spans="1:25" s="223" customFormat="1" ht="20.25">
      <c r="A1040" s="291"/>
      <c r="B1040" s="292" t="str">
        <f>IF(LEN(A1040)=0,"",INDEX('Smelter Reference List'!$A:$A,MATCH($A1040,'Smelter Reference List'!$E:$E,0)))</f>
        <v/>
      </c>
      <c r="C1040" s="298" t="str">
        <f>IF(LEN(A1040)=0,"",INDEX('Smelter Reference List'!$C:$C,MATCH($A1040,'Smelter Reference List'!$E:$E,0)))</f>
        <v/>
      </c>
      <c r="D1040" s="292" t="str">
        <f ca="1">IF(ISERROR($S1040),"",OFFSET('Smelter Reference List'!$C$4,$S1040-4,0)&amp;"")</f>
        <v/>
      </c>
      <c r="E1040" s="292" t="str">
        <f ca="1">IF(ISERROR($S1040),"",OFFSET('Smelter Reference List'!$D$4,$S1040-4,0)&amp;"")</f>
        <v/>
      </c>
      <c r="F1040" s="292" t="str">
        <f ca="1">IF(ISERROR($S1040),"",OFFSET('Smelter Reference List'!$E$4,$S1040-4,0))</f>
        <v/>
      </c>
      <c r="G1040" s="292" t="str">
        <f ca="1">IF(C1040=$U$4,"Enter smelter details", IF(ISERROR($S1040),"",OFFSET('Smelter Reference List'!$F$4,$S1040-4,0)))</f>
        <v/>
      </c>
      <c r="H1040" s="293" t="str">
        <f ca="1">IF(ISERROR($S1040),"",OFFSET('Smelter Reference List'!$G$4,$S1040-4,0))</f>
        <v/>
      </c>
      <c r="I1040" s="294" t="str">
        <f ca="1">IF(ISERROR($S1040),"",OFFSET('Smelter Reference List'!$H$4,$S1040-4,0))</f>
        <v/>
      </c>
      <c r="J1040" s="294" t="str">
        <f ca="1">IF(ISERROR($S1040),"",OFFSET('Smelter Reference List'!$I$4,$S1040-4,0))</f>
        <v/>
      </c>
      <c r="K1040" s="295"/>
      <c r="L1040" s="295"/>
      <c r="M1040" s="295"/>
      <c r="N1040" s="295"/>
      <c r="O1040" s="295"/>
      <c r="P1040" s="295"/>
      <c r="Q1040" s="296"/>
      <c r="R1040" s="227"/>
      <c r="S1040" s="228" t="e">
        <f>IF(C1040="",NA(),MATCH($B1040&amp;$C1040,'Smelter Reference List'!$J:$J,0))</f>
        <v>#N/A</v>
      </c>
      <c r="T1040" s="229"/>
      <c r="U1040" s="229">
        <f t="shared" ca="1" si="34"/>
        <v>0</v>
      </c>
      <c r="V1040" s="229"/>
      <c r="W1040" s="229"/>
      <c r="Y1040" s="223" t="str">
        <f t="shared" si="35"/>
        <v/>
      </c>
    </row>
    <row r="1041" spans="1:25" s="223" customFormat="1" ht="20.25">
      <c r="A1041" s="291"/>
      <c r="B1041" s="292" t="str">
        <f>IF(LEN(A1041)=0,"",INDEX('Smelter Reference List'!$A:$A,MATCH($A1041,'Smelter Reference List'!$E:$E,0)))</f>
        <v/>
      </c>
      <c r="C1041" s="298" t="str">
        <f>IF(LEN(A1041)=0,"",INDEX('Smelter Reference List'!$C:$C,MATCH($A1041,'Smelter Reference List'!$E:$E,0)))</f>
        <v/>
      </c>
      <c r="D1041" s="292" t="str">
        <f ca="1">IF(ISERROR($S1041),"",OFFSET('Smelter Reference List'!$C$4,$S1041-4,0)&amp;"")</f>
        <v/>
      </c>
      <c r="E1041" s="292" t="str">
        <f ca="1">IF(ISERROR($S1041),"",OFFSET('Smelter Reference List'!$D$4,$S1041-4,0)&amp;"")</f>
        <v/>
      </c>
      <c r="F1041" s="292" t="str">
        <f ca="1">IF(ISERROR($S1041),"",OFFSET('Smelter Reference List'!$E$4,$S1041-4,0))</f>
        <v/>
      </c>
      <c r="G1041" s="292" t="str">
        <f ca="1">IF(C1041=$U$4,"Enter smelter details", IF(ISERROR($S1041),"",OFFSET('Smelter Reference List'!$F$4,$S1041-4,0)))</f>
        <v/>
      </c>
      <c r="H1041" s="293" t="str">
        <f ca="1">IF(ISERROR($S1041),"",OFFSET('Smelter Reference List'!$G$4,$S1041-4,0))</f>
        <v/>
      </c>
      <c r="I1041" s="294" t="str">
        <f ca="1">IF(ISERROR($S1041),"",OFFSET('Smelter Reference List'!$H$4,$S1041-4,0))</f>
        <v/>
      </c>
      <c r="J1041" s="294" t="str">
        <f ca="1">IF(ISERROR($S1041),"",OFFSET('Smelter Reference List'!$I$4,$S1041-4,0))</f>
        <v/>
      </c>
      <c r="K1041" s="295"/>
      <c r="L1041" s="295"/>
      <c r="M1041" s="295"/>
      <c r="N1041" s="295"/>
      <c r="O1041" s="295"/>
      <c r="P1041" s="295"/>
      <c r="Q1041" s="296"/>
      <c r="R1041" s="227"/>
      <c r="S1041" s="228" t="e">
        <f>IF(C1041="",NA(),MATCH($B1041&amp;$C1041,'Smelter Reference List'!$J:$J,0))</f>
        <v>#N/A</v>
      </c>
      <c r="T1041" s="229"/>
      <c r="U1041" s="229">
        <f t="shared" ca="1" si="34"/>
        <v>0</v>
      </c>
      <c r="V1041" s="229"/>
      <c r="W1041" s="229"/>
      <c r="Y1041" s="223" t="str">
        <f t="shared" si="35"/>
        <v/>
      </c>
    </row>
    <row r="1042" spans="1:25" s="223" customFormat="1" ht="20.25">
      <c r="A1042" s="291"/>
      <c r="B1042" s="292" t="str">
        <f>IF(LEN(A1042)=0,"",INDEX('Smelter Reference List'!$A:$A,MATCH($A1042,'Smelter Reference List'!$E:$E,0)))</f>
        <v/>
      </c>
      <c r="C1042" s="298" t="str">
        <f>IF(LEN(A1042)=0,"",INDEX('Smelter Reference List'!$C:$C,MATCH($A1042,'Smelter Reference List'!$E:$E,0)))</f>
        <v/>
      </c>
      <c r="D1042" s="292" t="str">
        <f ca="1">IF(ISERROR($S1042),"",OFFSET('Smelter Reference List'!$C$4,$S1042-4,0)&amp;"")</f>
        <v/>
      </c>
      <c r="E1042" s="292" t="str">
        <f ca="1">IF(ISERROR($S1042),"",OFFSET('Smelter Reference List'!$D$4,$S1042-4,0)&amp;"")</f>
        <v/>
      </c>
      <c r="F1042" s="292" t="str">
        <f ca="1">IF(ISERROR($S1042),"",OFFSET('Smelter Reference List'!$E$4,$S1042-4,0))</f>
        <v/>
      </c>
      <c r="G1042" s="292" t="str">
        <f ca="1">IF(C1042=$U$4,"Enter smelter details", IF(ISERROR($S1042),"",OFFSET('Smelter Reference List'!$F$4,$S1042-4,0)))</f>
        <v/>
      </c>
      <c r="H1042" s="293" t="str">
        <f ca="1">IF(ISERROR($S1042),"",OFFSET('Smelter Reference List'!$G$4,$S1042-4,0))</f>
        <v/>
      </c>
      <c r="I1042" s="294" t="str">
        <f ca="1">IF(ISERROR($S1042),"",OFFSET('Smelter Reference List'!$H$4,$S1042-4,0))</f>
        <v/>
      </c>
      <c r="J1042" s="294" t="str">
        <f ca="1">IF(ISERROR($S1042),"",OFFSET('Smelter Reference List'!$I$4,$S1042-4,0))</f>
        <v/>
      </c>
      <c r="K1042" s="295"/>
      <c r="L1042" s="295"/>
      <c r="M1042" s="295"/>
      <c r="N1042" s="295"/>
      <c r="O1042" s="295"/>
      <c r="P1042" s="295"/>
      <c r="Q1042" s="296"/>
      <c r="R1042" s="227"/>
      <c r="S1042" s="228" t="e">
        <f>IF(C1042="",NA(),MATCH($B1042&amp;$C1042,'Smelter Reference List'!$J:$J,0))</f>
        <v>#N/A</v>
      </c>
      <c r="T1042" s="229"/>
      <c r="U1042" s="229">
        <f t="shared" ca="1" si="34"/>
        <v>0</v>
      </c>
      <c r="V1042" s="229"/>
      <c r="W1042" s="229"/>
      <c r="Y1042" s="223" t="str">
        <f t="shared" si="35"/>
        <v/>
      </c>
    </row>
    <row r="1043" spans="1:25" s="223" customFormat="1" ht="20.25">
      <c r="A1043" s="291"/>
      <c r="B1043" s="292" t="str">
        <f>IF(LEN(A1043)=0,"",INDEX('Smelter Reference List'!$A:$A,MATCH($A1043,'Smelter Reference List'!$E:$E,0)))</f>
        <v/>
      </c>
      <c r="C1043" s="298" t="str">
        <f>IF(LEN(A1043)=0,"",INDEX('Smelter Reference List'!$C:$C,MATCH($A1043,'Smelter Reference List'!$E:$E,0)))</f>
        <v/>
      </c>
      <c r="D1043" s="292" t="str">
        <f ca="1">IF(ISERROR($S1043),"",OFFSET('Smelter Reference List'!$C$4,$S1043-4,0)&amp;"")</f>
        <v/>
      </c>
      <c r="E1043" s="292" t="str">
        <f ca="1">IF(ISERROR($S1043),"",OFFSET('Smelter Reference List'!$D$4,$S1043-4,0)&amp;"")</f>
        <v/>
      </c>
      <c r="F1043" s="292" t="str">
        <f ca="1">IF(ISERROR($S1043),"",OFFSET('Smelter Reference List'!$E$4,$S1043-4,0))</f>
        <v/>
      </c>
      <c r="G1043" s="292" t="str">
        <f ca="1">IF(C1043=$U$4,"Enter smelter details", IF(ISERROR($S1043),"",OFFSET('Smelter Reference List'!$F$4,$S1043-4,0)))</f>
        <v/>
      </c>
      <c r="H1043" s="293" t="str">
        <f ca="1">IF(ISERROR($S1043),"",OFFSET('Smelter Reference List'!$G$4,$S1043-4,0))</f>
        <v/>
      </c>
      <c r="I1043" s="294" t="str">
        <f ca="1">IF(ISERROR($S1043),"",OFFSET('Smelter Reference List'!$H$4,$S1043-4,0))</f>
        <v/>
      </c>
      <c r="J1043" s="294" t="str">
        <f ca="1">IF(ISERROR($S1043),"",OFFSET('Smelter Reference List'!$I$4,$S1043-4,0))</f>
        <v/>
      </c>
      <c r="K1043" s="295"/>
      <c r="L1043" s="295"/>
      <c r="M1043" s="295"/>
      <c r="N1043" s="295"/>
      <c r="O1043" s="295"/>
      <c r="P1043" s="295"/>
      <c r="Q1043" s="296"/>
      <c r="R1043" s="227"/>
      <c r="S1043" s="228" t="e">
        <f>IF(C1043="",NA(),MATCH($B1043&amp;$C1043,'Smelter Reference List'!$J:$J,0))</f>
        <v>#N/A</v>
      </c>
      <c r="T1043" s="229"/>
      <c r="U1043" s="229">
        <f t="shared" ca="1" si="34"/>
        <v>0</v>
      </c>
      <c r="V1043" s="229"/>
      <c r="W1043" s="229"/>
      <c r="Y1043" s="223" t="str">
        <f t="shared" si="35"/>
        <v/>
      </c>
    </row>
    <row r="1044" spans="1:25" s="223" customFormat="1" ht="20.25">
      <c r="A1044" s="291"/>
      <c r="B1044" s="292" t="str">
        <f>IF(LEN(A1044)=0,"",INDEX('Smelter Reference List'!$A:$A,MATCH($A1044,'Smelter Reference List'!$E:$E,0)))</f>
        <v/>
      </c>
      <c r="C1044" s="298" t="str">
        <f>IF(LEN(A1044)=0,"",INDEX('Smelter Reference List'!$C:$C,MATCH($A1044,'Smelter Reference List'!$E:$E,0)))</f>
        <v/>
      </c>
      <c r="D1044" s="292" t="str">
        <f ca="1">IF(ISERROR($S1044),"",OFFSET('Smelter Reference List'!$C$4,$S1044-4,0)&amp;"")</f>
        <v/>
      </c>
      <c r="E1044" s="292" t="str">
        <f ca="1">IF(ISERROR($S1044),"",OFFSET('Smelter Reference List'!$D$4,$S1044-4,0)&amp;"")</f>
        <v/>
      </c>
      <c r="F1044" s="292" t="str">
        <f ca="1">IF(ISERROR($S1044),"",OFFSET('Smelter Reference List'!$E$4,$S1044-4,0))</f>
        <v/>
      </c>
      <c r="G1044" s="292" t="str">
        <f ca="1">IF(C1044=$U$4,"Enter smelter details", IF(ISERROR($S1044),"",OFFSET('Smelter Reference List'!$F$4,$S1044-4,0)))</f>
        <v/>
      </c>
      <c r="H1044" s="293" t="str">
        <f ca="1">IF(ISERROR($S1044),"",OFFSET('Smelter Reference List'!$G$4,$S1044-4,0))</f>
        <v/>
      </c>
      <c r="I1044" s="294" t="str">
        <f ca="1">IF(ISERROR($S1044),"",OFFSET('Smelter Reference List'!$H$4,$S1044-4,0))</f>
        <v/>
      </c>
      <c r="J1044" s="294" t="str">
        <f ca="1">IF(ISERROR($S1044),"",OFFSET('Smelter Reference List'!$I$4,$S1044-4,0))</f>
        <v/>
      </c>
      <c r="K1044" s="295"/>
      <c r="L1044" s="295"/>
      <c r="M1044" s="295"/>
      <c r="N1044" s="295"/>
      <c r="O1044" s="295"/>
      <c r="P1044" s="295"/>
      <c r="Q1044" s="296"/>
      <c r="R1044" s="227"/>
      <c r="S1044" s="228" t="e">
        <f>IF(C1044="",NA(),MATCH($B1044&amp;$C1044,'Smelter Reference List'!$J:$J,0))</f>
        <v>#N/A</v>
      </c>
      <c r="T1044" s="229"/>
      <c r="U1044" s="229">
        <f t="shared" ca="1" si="34"/>
        <v>0</v>
      </c>
      <c r="V1044" s="229"/>
      <c r="W1044" s="229"/>
      <c r="Y1044" s="223" t="str">
        <f t="shared" si="35"/>
        <v/>
      </c>
    </row>
    <row r="1045" spans="1:25" s="223" customFormat="1" ht="20.25">
      <c r="A1045" s="291"/>
      <c r="B1045" s="292" t="str">
        <f>IF(LEN(A1045)=0,"",INDEX('Smelter Reference List'!$A:$A,MATCH($A1045,'Smelter Reference List'!$E:$E,0)))</f>
        <v/>
      </c>
      <c r="C1045" s="298" t="str">
        <f>IF(LEN(A1045)=0,"",INDEX('Smelter Reference List'!$C:$C,MATCH($A1045,'Smelter Reference List'!$E:$E,0)))</f>
        <v/>
      </c>
      <c r="D1045" s="292" t="str">
        <f ca="1">IF(ISERROR($S1045),"",OFFSET('Smelter Reference List'!$C$4,$S1045-4,0)&amp;"")</f>
        <v/>
      </c>
      <c r="E1045" s="292" t="str">
        <f ca="1">IF(ISERROR($S1045),"",OFFSET('Smelter Reference List'!$D$4,$S1045-4,0)&amp;"")</f>
        <v/>
      </c>
      <c r="F1045" s="292" t="str">
        <f ca="1">IF(ISERROR($S1045),"",OFFSET('Smelter Reference List'!$E$4,$S1045-4,0))</f>
        <v/>
      </c>
      <c r="G1045" s="292" t="str">
        <f ca="1">IF(C1045=$U$4,"Enter smelter details", IF(ISERROR($S1045),"",OFFSET('Smelter Reference List'!$F$4,$S1045-4,0)))</f>
        <v/>
      </c>
      <c r="H1045" s="293" t="str">
        <f ca="1">IF(ISERROR($S1045),"",OFFSET('Smelter Reference List'!$G$4,$S1045-4,0))</f>
        <v/>
      </c>
      <c r="I1045" s="294" t="str">
        <f ca="1">IF(ISERROR($S1045),"",OFFSET('Smelter Reference List'!$H$4,$S1045-4,0))</f>
        <v/>
      </c>
      <c r="J1045" s="294" t="str">
        <f ca="1">IF(ISERROR($S1045),"",OFFSET('Smelter Reference List'!$I$4,$S1045-4,0))</f>
        <v/>
      </c>
      <c r="K1045" s="295"/>
      <c r="L1045" s="295"/>
      <c r="M1045" s="295"/>
      <c r="N1045" s="295"/>
      <c r="O1045" s="295"/>
      <c r="P1045" s="295"/>
      <c r="Q1045" s="296"/>
      <c r="R1045" s="227"/>
      <c r="S1045" s="228" t="e">
        <f>IF(C1045="",NA(),MATCH($B1045&amp;$C1045,'Smelter Reference List'!$J:$J,0))</f>
        <v>#N/A</v>
      </c>
      <c r="T1045" s="229"/>
      <c r="U1045" s="229">
        <f t="shared" ca="1" si="34"/>
        <v>0</v>
      </c>
      <c r="V1045" s="229"/>
      <c r="W1045" s="229"/>
      <c r="Y1045" s="223" t="str">
        <f t="shared" si="35"/>
        <v/>
      </c>
    </row>
    <row r="1046" spans="1:25" s="223" customFormat="1" ht="20.25">
      <c r="A1046" s="291"/>
      <c r="B1046" s="292" t="str">
        <f>IF(LEN(A1046)=0,"",INDEX('Smelter Reference List'!$A:$A,MATCH($A1046,'Smelter Reference List'!$E:$E,0)))</f>
        <v/>
      </c>
      <c r="C1046" s="298" t="str">
        <f>IF(LEN(A1046)=0,"",INDEX('Smelter Reference List'!$C:$C,MATCH($A1046,'Smelter Reference List'!$E:$E,0)))</f>
        <v/>
      </c>
      <c r="D1046" s="292" t="str">
        <f ca="1">IF(ISERROR($S1046),"",OFFSET('Smelter Reference List'!$C$4,$S1046-4,0)&amp;"")</f>
        <v/>
      </c>
      <c r="E1046" s="292" t="str">
        <f ca="1">IF(ISERROR($S1046),"",OFFSET('Smelter Reference List'!$D$4,$S1046-4,0)&amp;"")</f>
        <v/>
      </c>
      <c r="F1046" s="292" t="str">
        <f ca="1">IF(ISERROR($S1046),"",OFFSET('Smelter Reference List'!$E$4,$S1046-4,0))</f>
        <v/>
      </c>
      <c r="G1046" s="292" t="str">
        <f ca="1">IF(C1046=$U$4,"Enter smelter details", IF(ISERROR($S1046),"",OFFSET('Smelter Reference List'!$F$4,$S1046-4,0)))</f>
        <v/>
      </c>
      <c r="H1046" s="293" t="str">
        <f ca="1">IF(ISERROR($S1046),"",OFFSET('Smelter Reference List'!$G$4,$S1046-4,0))</f>
        <v/>
      </c>
      <c r="I1046" s="294" t="str">
        <f ca="1">IF(ISERROR($S1046),"",OFFSET('Smelter Reference List'!$H$4,$S1046-4,0))</f>
        <v/>
      </c>
      <c r="J1046" s="294" t="str">
        <f ca="1">IF(ISERROR($S1046),"",OFFSET('Smelter Reference List'!$I$4,$S1046-4,0))</f>
        <v/>
      </c>
      <c r="K1046" s="295"/>
      <c r="L1046" s="295"/>
      <c r="M1046" s="295"/>
      <c r="N1046" s="295"/>
      <c r="O1046" s="295"/>
      <c r="P1046" s="295"/>
      <c r="Q1046" s="296"/>
      <c r="R1046" s="227"/>
      <c r="S1046" s="228" t="e">
        <f>IF(C1046="",NA(),MATCH($B1046&amp;$C1046,'Smelter Reference List'!$J:$J,0))</f>
        <v>#N/A</v>
      </c>
      <c r="T1046" s="229"/>
      <c r="U1046" s="229">
        <f t="shared" ca="1" si="34"/>
        <v>0</v>
      </c>
      <c r="V1046" s="229"/>
      <c r="W1046" s="229"/>
      <c r="Y1046" s="223" t="str">
        <f t="shared" si="35"/>
        <v/>
      </c>
    </row>
    <row r="1047" spans="1:25" s="223" customFormat="1" ht="20.25">
      <c r="A1047" s="291"/>
      <c r="B1047" s="292" t="str">
        <f>IF(LEN(A1047)=0,"",INDEX('Smelter Reference List'!$A:$A,MATCH($A1047,'Smelter Reference List'!$E:$E,0)))</f>
        <v/>
      </c>
      <c r="C1047" s="298" t="str">
        <f>IF(LEN(A1047)=0,"",INDEX('Smelter Reference List'!$C:$C,MATCH($A1047,'Smelter Reference List'!$E:$E,0)))</f>
        <v/>
      </c>
      <c r="D1047" s="292" t="str">
        <f ca="1">IF(ISERROR($S1047),"",OFFSET('Smelter Reference List'!$C$4,$S1047-4,0)&amp;"")</f>
        <v/>
      </c>
      <c r="E1047" s="292" t="str">
        <f ca="1">IF(ISERROR($S1047),"",OFFSET('Smelter Reference List'!$D$4,$S1047-4,0)&amp;"")</f>
        <v/>
      </c>
      <c r="F1047" s="292" t="str">
        <f ca="1">IF(ISERROR($S1047),"",OFFSET('Smelter Reference List'!$E$4,$S1047-4,0))</f>
        <v/>
      </c>
      <c r="G1047" s="292" t="str">
        <f ca="1">IF(C1047=$U$4,"Enter smelter details", IF(ISERROR($S1047),"",OFFSET('Smelter Reference List'!$F$4,$S1047-4,0)))</f>
        <v/>
      </c>
      <c r="H1047" s="293" t="str">
        <f ca="1">IF(ISERROR($S1047),"",OFFSET('Smelter Reference List'!$G$4,$S1047-4,0))</f>
        <v/>
      </c>
      <c r="I1047" s="294" t="str">
        <f ca="1">IF(ISERROR($S1047),"",OFFSET('Smelter Reference List'!$H$4,$S1047-4,0))</f>
        <v/>
      </c>
      <c r="J1047" s="294" t="str">
        <f ca="1">IF(ISERROR($S1047),"",OFFSET('Smelter Reference List'!$I$4,$S1047-4,0))</f>
        <v/>
      </c>
      <c r="K1047" s="295"/>
      <c r="L1047" s="295"/>
      <c r="M1047" s="295"/>
      <c r="N1047" s="295"/>
      <c r="O1047" s="295"/>
      <c r="P1047" s="295"/>
      <c r="Q1047" s="296"/>
      <c r="R1047" s="227"/>
      <c r="S1047" s="228" t="e">
        <f>IF(C1047="",NA(),MATCH($B1047&amp;$C1047,'Smelter Reference List'!$J:$J,0))</f>
        <v>#N/A</v>
      </c>
      <c r="T1047" s="229"/>
      <c r="U1047" s="229">
        <f t="shared" ca="1" si="34"/>
        <v>0</v>
      </c>
      <c r="V1047" s="229"/>
      <c r="W1047" s="229"/>
      <c r="Y1047" s="223" t="str">
        <f t="shared" si="35"/>
        <v/>
      </c>
    </row>
    <row r="1048" spans="1:25" s="223" customFormat="1" ht="20.25">
      <c r="A1048" s="291"/>
      <c r="B1048" s="292" t="str">
        <f>IF(LEN(A1048)=0,"",INDEX('Smelter Reference List'!$A:$A,MATCH($A1048,'Smelter Reference List'!$E:$E,0)))</f>
        <v/>
      </c>
      <c r="C1048" s="298" t="str">
        <f>IF(LEN(A1048)=0,"",INDEX('Smelter Reference List'!$C:$C,MATCH($A1048,'Smelter Reference List'!$E:$E,0)))</f>
        <v/>
      </c>
      <c r="D1048" s="292" t="str">
        <f ca="1">IF(ISERROR($S1048),"",OFFSET('Smelter Reference List'!$C$4,$S1048-4,0)&amp;"")</f>
        <v/>
      </c>
      <c r="E1048" s="292" t="str">
        <f ca="1">IF(ISERROR($S1048),"",OFFSET('Smelter Reference List'!$D$4,$S1048-4,0)&amp;"")</f>
        <v/>
      </c>
      <c r="F1048" s="292" t="str">
        <f ca="1">IF(ISERROR($S1048),"",OFFSET('Smelter Reference List'!$E$4,$S1048-4,0))</f>
        <v/>
      </c>
      <c r="G1048" s="292" t="str">
        <f ca="1">IF(C1048=$U$4,"Enter smelter details", IF(ISERROR($S1048),"",OFFSET('Smelter Reference List'!$F$4,$S1048-4,0)))</f>
        <v/>
      </c>
      <c r="H1048" s="293" t="str">
        <f ca="1">IF(ISERROR($S1048),"",OFFSET('Smelter Reference List'!$G$4,$S1048-4,0))</f>
        <v/>
      </c>
      <c r="I1048" s="294" t="str">
        <f ca="1">IF(ISERROR($S1048),"",OFFSET('Smelter Reference List'!$H$4,$S1048-4,0))</f>
        <v/>
      </c>
      <c r="J1048" s="294" t="str">
        <f ca="1">IF(ISERROR($S1048),"",OFFSET('Smelter Reference List'!$I$4,$S1048-4,0))</f>
        <v/>
      </c>
      <c r="K1048" s="295"/>
      <c r="L1048" s="295"/>
      <c r="M1048" s="295"/>
      <c r="N1048" s="295"/>
      <c r="O1048" s="295"/>
      <c r="P1048" s="295"/>
      <c r="Q1048" s="296"/>
      <c r="R1048" s="227"/>
      <c r="S1048" s="228" t="e">
        <f>IF(C1048="",NA(),MATCH($B1048&amp;$C1048,'Smelter Reference List'!$J:$J,0))</f>
        <v>#N/A</v>
      </c>
      <c r="T1048" s="229"/>
      <c r="U1048" s="229">
        <f t="shared" ca="1" si="34"/>
        <v>0</v>
      </c>
      <c r="V1048" s="229"/>
      <c r="W1048" s="229"/>
      <c r="Y1048" s="223" t="str">
        <f t="shared" si="35"/>
        <v/>
      </c>
    </row>
    <row r="1049" spans="1:25" s="223" customFormat="1" ht="20.25">
      <c r="A1049" s="291"/>
      <c r="B1049" s="292" t="str">
        <f>IF(LEN(A1049)=0,"",INDEX('Smelter Reference List'!$A:$A,MATCH($A1049,'Smelter Reference List'!$E:$E,0)))</f>
        <v/>
      </c>
      <c r="C1049" s="298" t="str">
        <f>IF(LEN(A1049)=0,"",INDEX('Smelter Reference List'!$C:$C,MATCH($A1049,'Smelter Reference List'!$E:$E,0)))</f>
        <v/>
      </c>
      <c r="D1049" s="292" t="str">
        <f ca="1">IF(ISERROR($S1049),"",OFFSET('Smelter Reference List'!$C$4,$S1049-4,0)&amp;"")</f>
        <v/>
      </c>
      <c r="E1049" s="292" t="str">
        <f ca="1">IF(ISERROR($S1049),"",OFFSET('Smelter Reference List'!$D$4,$S1049-4,0)&amp;"")</f>
        <v/>
      </c>
      <c r="F1049" s="292" t="str">
        <f ca="1">IF(ISERROR($S1049),"",OFFSET('Smelter Reference List'!$E$4,$S1049-4,0))</f>
        <v/>
      </c>
      <c r="G1049" s="292" t="str">
        <f ca="1">IF(C1049=$U$4,"Enter smelter details", IF(ISERROR($S1049),"",OFFSET('Smelter Reference List'!$F$4,$S1049-4,0)))</f>
        <v/>
      </c>
      <c r="H1049" s="293" t="str">
        <f ca="1">IF(ISERROR($S1049),"",OFFSET('Smelter Reference List'!$G$4,$S1049-4,0))</f>
        <v/>
      </c>
      <c r="I1049" s="294" t="str">
        <f ca="1">IF(ISERROR($S1049),"",OFFSET('Smelter Reference List'!$H$4,$S1049-4,0))</f>
        <v/>
      </c>
      <c r="J1049" s="294" t="str">
        <f ca="1">IF(ISERROR($S1049),"",OFFSET('Smelter Reference List'!$I$4,$S1049-4,0))</f>
        <v/>
      </c>
      <c r="K1049" s="295"/>
      <c r="L1049" s="295"/>
      <c r="M1049" s="295"/>
      <c r="N1049" s="295"/>
      <c r="O1049" s="295"/>
      <c r="P1049" s="295"/>
      <c r="Q1049" s="296"/>
      <c r="R1049" s="227"/>
      <c r="S1049" s="228" t="e">
        <f>IF(C1049="",NA(),MATCH($B1049&amp;$C1049,'Smelter Reference List'!$J:$J,0))</f>
        <v>#N/A</v>
      </c>
      <c r="T1049" s="229"/>
      <c r="U1049" s="229">
        <f t="shared" ca="1" si="34"/>
        <v>0</v>
      </c>
      <c r="V1049" s="229"/>
      <c r="W1049" s="229"/>
      <c r="Y1049" s="223" t="str">
        <f t="shared" si="35"/>
        <v/>
      </c>
    </row>
    <row r="1050" spans="1:25" s="223" customFormat="1" ht="20.25">
      <c r="A1050" s="291"/>
      <c r="B1050" s="292" t="str">
        <f>IF(LEN(A1050)=0,"",INDEX('Smelter Reference List'!$A:$A,MATCH($A1050,'Smelter Reference List'!$E:$E,0)))</f>
        <v/>
      </c>
      <c r="C1050" s="298" t="str">
        <f>IF(LEN(A1050)=0,"",INDEX('Smelter Reference List'!$C:$C,MATCH($A1050,'Smelter Reference List'!$E:$E,0)))</f>
        <v/>
      </c>
      <c r="D1050" s="292" t="str">
        <f ca="1">IF(ISERROR($S1050),"",OFFSET('Smelter Reference List'!$C$4,$S1050-4,0)&amp;"")</f>
        <v/>
      </c>
      <c r="E1050" s="292" t="str">
        <f ca="1">IF(ISERROR($S1050),"",OFFSET('Smelter Reference List'!$D$4,$S1050-4,0)&amp;"")</f>
        <v/>
      </c>
      <c r="F1050" s="292" t="str">
        <f ca="1">IF(ISERROR($S1050),"",OFFSET('Smelter Reference List'!$E$4,$S1050-4,0))</f>
        <v/>
      </c>
      <c r="G1050" s="292" t="str">
        <f ca="1">IF(C1050=$U$4,"Enter smelter details", IF(ISERROR($S1050),"",OFFSET('Smelter Reference List'!$F$4,$S1050-4,0)))</f>
        <v/>
      </c>
      <c r="H1050" s="293" t="str">
        <f ca="1">IF(ISERROR($S1050),"",OFFSET('Smelter Reference List'!$G$4,$S1050-4,0))</f>
        <v/>
      </c>
      <c r="I1050" s="294" t="str">
        <f ca="1">IF(ISERROR($S1050),"",OFFSET('Smelter Reference List'!$H$4,$S1050-4,0))</f>
        <v/>
      </c>
      <c r="J1050" s="294" t="str">
        <f ca="1">IF(ISERROR($S1050),"",OFFSET('Smelter Reference List'!$I$4,$S1050-4,0))</f>
        <v/>
      </c>
      <c r="K1050" s="295"/>
      <c r="L1050" s="295"/>
      <c r="M1050" s="295"/>
      <c r="N1050" s="295"/>
      <c r="O1050" s="295"/>
      <c r="P1050" s="295"/>
      <c r="Q1050" s="296"/>
      <c r="R1050" s="227"/>
      <c r="S1050" s="228" t="e">
        <f>IF(C1050="",NA(),MATCH($B1050&amp;$C1050,'Smelter Reference List'!$J:$J,0))</f>
        <v>#N/A</v>
      </c>
      <c r="T1050" s="229"/>
      <c r="U1050" s="229">
        <f t="shared" ca="1" si="34"/>
        <v>0</v>
      </c>
      <c r="V1050" s="229"/>
      <c r="W1050" s="229"/>
      <c r="Y1050" s="223" t="str">
        <f t="shared" si="35"/>
        <v/>
      </c>
    </row>
    <row r="1051" spans="1:25" s="223" customFormat="1" ht="20.25">
      <c r="A1051" s="291"/>
      <c r="B1051" s="292" t="str">
        <f>IF(LEN(A1051)=0,"",INDEX('Smelter Reference List'!$A:$A,MATCH($A1051,'Smelter Reference List'!$E:$E,0)))</f>
        <v/>
      </c>
      <c r="C1051" s="298" t="str">
        <f>IF(LEN(A1051)=0,"",INDEX('Smelter Reference List'!$C:$C,MATCH($A1051,'Smelter Reference List'!$E:$E,0)))</f>
        <v/>
      </c>
      <c r="D1051" s="292" t="str">
        <f ca="1">IF(ISERROR($S1051),"",OFFSET('Smelter Reference List'!$C$4,$S1051-4,0)&amp;"")</f>
        <v/>
      </c>
      <c r="E1051" s="292" t="str">
        <f ca="1">IF(ISERROR($S1051),"",OFFSET('Smelter Reference List'!$D$4,$S1051-4,0)&amp;"")</f>
        <v/>
      </c>
      <c r="F1051" s="292" t="str">
        <f ca="1">IF(ISERROR($S1051),"",OFFSET('Smelter Reference List'!$E$4,$S1051-4,0))</f>
        <v/>
      </c>
      <c r="G1051" s="292" t="str">
        <f ca="1">IF(C1051=$U$4,"Enter smelter details", IF(ISERROR($S1051),"",OFFSET('Smelter Reference List'!$F$4,$S1051-4,0)))</f>
        <v/>
      </c>
      <c r="H1051" s="293" t="str">
        <f ca="1">IF(ISERROR($S1051),"",OFFSET('Smelter Reference List'!$G$4,$S1051-4,0))</f>
        <v/>
      </c>
      <c r="I1051" s="294" t="str">
        <f ca="1">IF(ISERROR($S1051),"",OFFSET('Smelter Reference List'!$H$4,$S1051-4,0))</f>
        <v/>
      </c>
      <c r="J1051" s="294" t="str">
        <f ca="1">IF(ISERROR($S1051),"",OFFSET('Smelter Reference List'!$I$4,$S1051-4,0))</f>
        <v/>
      </c>
      <c r="K1051" s="295"/>
      <c r="L1051" s="295"/>
      <c r="M1051" s="295"/>
      <c r="N1051" s="295"/>
      <c r="O1051" s="295"/>
      <c r="P1051" s="295"/>
      <c r="Q1051" s="296"/>
      <c r="R1051" s="227"/>
      <c r="S1051" s="228" t="e">
        <f>IF(C1051="",NA(),MATCH($B1051&amp;$C1051,'Smelter Reference List'!$J:$J,0))</f>
        <v>#N/A</v>
      </c>
      <c r="T1051" s="229"/>
      <c r="U1051" s="229">
        <f t="shared" ca="1" si="34"/>
        <v>0</v>
      </c>
      <c r="V1051" s="229"/>
      <c r="W1051" s="229"/>
      <c r="Y1051" s="223" t="str">
        <f t="shared" si="35"/>
        <v/>
      </c>
    </row>
    <row r="1052" spans="1:25" s="223" customFormat="1" ht="20.25">
      <c r="A1052" s="291"/>
      <c r="B1052" s="292" t="str">
        <f>IF(LEN(A1052)=0,"",INDEX('Smelter Reference List'!$A:$A,MATCH($A1052,'Smelter Reference List'!$E:$E,0)))</f>
        <v/>
      </c>
      <c r="C1052" s="298" t="str">
        <f>IF(LEN(A1052)=0,"",INDEX('Smelter Reference List'!$C:$C,MATCH($A1052,'Smelter Reference List'!$E:$E,0)))</f>
        <v/>
      </c>
      <c r="D1052" s="292" t="str">
        <f ca="1">IF(ISERROR($S1052),"",OFFSET('Smelter Reference List'!$C$4,$S1052-4,0)&amp;"")</f>
        <v/>
      </c>
      <c r="E1052" s="292" t="str">
        <f ca="1">IF(ISERROR($S1052),"",OFFSET('Smelter Reference List'!$D$4,$S1052-4,0)&amp;"")</f>
        <v/>
      </c>
      <c r="F1052" s="292" t="str">
        <f ca="1">IF(ISERROR($S1052),"",OFFSET('Smelter Reference List'!$E$4,$S1052-4,0))</f>
        <v/>
      </c>
      <c r="G1052" s="292" t="str">
        <f ca="1">IF(C1052=$U$4,"Enter smelter details", IF(ISERROR($S1052),"",OFFSET('Smelter Reference List'!$F$4,$S1052-4,0)))</f>
        <v/>
      </c>
      <c r="H1052" s="293" t="str">
        <f ca="1">IF(ISERROR($S1052),"",OFFSET('Smelter Reference List'!$G$4,$S1052-4,0))</f>
        <v/>
      </c>
      <c r="I1052" s="294" t="str">
        <f ca="1">IF(ISERROR($S1052),"",OFFSET('Smelter Reference List'!$H$4,$S1052-4,0))</f>
        <v/>
      </c>
      <c r="J1052" s="294" t="str">
        <f ca="1">IF(ISERROR($S1052),"",OFFSET('Smelter Reference List'!$I$4,$S1052-4,0))</f>
        <v/>
      </c>
      <c r="K1052" s="295"/>
      <c r="L1052" s="295"/>
      <c r="M1052" s="295"/>
      <c r="N1052" s="295"/>
      <c r="O1052" s="295"/>
      <c r="P1052" s="295"/>
      <c r="Q1052" s="296"/>
      <c r="R1052" s="227"/>
      <c r="S1052" s="228" t="e">
        <f>IF(C1052="",NA(),MATCH($B1052&amp;$C1052,'Smelter Reference List'!$J:$J,0))</f>
        <v>#N/A</v>
      </c>
      <c r="T1052" s="229"/>
      <c r="U1052" s="229">
        <f t="shared" ca="1" si="34"/>
        <v>0</v>
      </c>
      <c r="V1052" s="229"/>
      <c r="W1052" s="229"/>
      <c r="Y1052" s="223" t="str">
        <f t="shared" si="35"/>
        <v/>
      </c>
    </row>
    <row r="1053" spans="1:25" s="223" customFormat="1" ht="20.25">
      <c r="A1053" s="291"/>
      <c r="B1053" s="292" t="str">
        <f>IF(LEN(A1053)=0,"",INDEX('Smelter Reference List'!$A:$A,MATCH($A1053,'Smelter Reference List'!$E:$E,0)))</f>
        <v/>
      </c>
      <c r="C1053" s="298" t="str">
        <f>IF(LEN(A1053)=0,"",INDEX('Smelter Reference List'!$C:$C,MATCH($A1053,'Smelter Reference List'!$E:$E,0)))</f>
        <v/>
      </c>
      <c r="D1053" s="292" t="str">
        <f ca="1">IF(ISERROR($S1053),"",OFFSET('Smelter Reference List'!$C$4,$S1053-4,0)&amp;"")</f>
        <v/>
      </c>
      <c r="E1053" s="292" t="str">
        <f ca="1">IF(ISERROR($S1053),"",OFFSET('Smelter Reference List'!$D$4,$S1053-4,0)&amp;"")</f>
        <v/>
      </c>
      <c r="F1053" s="292" t="str">
        <f ca="1">IF(ISERROR($S1053),"",OFFSET('Smelter Reference List'!$E$4,$S1053-4,0))</f>
        <v/>
      </c>
      <c r="G1053" s="292" t="str">
        <f ca="1">IF(C1053=$U$4,"Enter smelter details", IF(ISERROR($S1053),"",OFFSET('Smelter Reference List'!$F$4,$S1053-4,0)))</f>
        <v/>
      </c>
      <c r="H1053" s="293" t="str">
        <f ca="1">IF(ISERROR($S1053),"",OFFSET('Smelter Reference List'!$G$4,$S1053-4,0))</f>
        <v/>
      </c>
      <c r="I1053" s="294" t="str">
        <f ca="1">IF(ISERROR($S1053),"",OFFSET('Smelter Reference List'!$H$4,$S1053-4,0))</f>
        <v/>
      </c>
      <c r="J1053" s="294" t="str">
        <f ca="1">IF(ISERROR($S1053),"",OFFSET('Smelter Reference List'!$I$4,$S1053-4,0))</f>
        <v/>
      </c>
      <c r="K1053" s="295"/>
      <c r="L1053" s="295"/>
      <c r="M1053" s="295"/>
      <c r="N1053" s="295"/>
      <c r="O1053" s="295"/>
      <c r="P1053" s="295"/>
      <c r="Q1053" s="296"/>
      <c r="R1053" s="227"/>
      <c r="S1053" s="228" t="e">
        <f>IF(C1053="",NA(),MATCH($B1053&amp;$C1053,'Smelter Reference List'!$J:$J,0))</f>
        <v>#N/A</v>
      </c>
      <c r="T1053" s="229"/>
      <c r="U1053" s="229">
        <f t="shared" ca="1" si="34"/>
        <v>0</v>
      </c>
      <c r="V1053" s="229"/>
      <c r="W1053" s="229"/>
      <c r="Y1053" s="223" t="str">
        <f t="shared" si="35"/>
        <v/>
      </c>
    </row>
    <row r="1054" spans="1:25" s="223" customFormat="1" ht="20.25">
      <c r="A1054" s="291"/>
      <c r="B1054" s="292" t="str">
        <f>IF(LEN(A1054)=0,"",INDEX('Smelter Reference List'!$A:$A,MATCH($A1054,'Smelter Reference List'!$E:$E,0)))</f>
        <v/>
      </c>
      <c r="C1054" s="298" t="str">
        <f>IF(LEN(A1054)=0,"",INDEX('Smelter Reference List'!$C:$C,MATCH($A1054,'Smelter Reference List'!$E:$E,0)))</f>
        <v/>
      </c>
      <c r="D1054" s="292" t="str">
        <f ca="1">IF(ISERROR($S1054),"",OFFSET('Smelter Reference List'!$C$4,$S1054-4,0)&amp;"")</f>
        <v/>
      </c>
      <c r="E1054" s="292" t="str">
        <f ca="1">IF(ISERROR($S1054),"",OFFSET('Smelter Reference List'!$D$4,$S1054-4,0)&amp;"")</f>
        <v/>
      </c>
      <c r="F1054" s="292" t="str">
        <f ca="1">IF(ISERROR($S1054),"",OFFSET('Smelter Reference List'!$E$4,$S1054-4,0))</f>
        <v/>
      </c>
      <c r="G1054" s="292" t="str">
        <f ca="1">IF(C1054=$U$4,"Enter smelter details", IF(ISERROR($S1054),"",OFFSET('Smelter Reference List'!$F$4,$S1054-4,0)))</f>
        <v/>
      </c>
      <c r="H1054" s="293" t="str">
        <f ca="1">IF(ISERROR($S1054),"",OFFSET('Smelter Reference List'!$G$4,$S1054-4,0))</f>
        <v/>
      </c>
      <c r="I1054" s="294" t="str">
        <f ca="1">IF(ISERROR($S1054),"",OFFSET('Smelter Reference List'!$H$4,$S1054-4,0))</f>
        <v/>
      </c>
      <c r="J1054" s="294" t="str">
        <f ca="1">IF(ISERROR($S1054),"",OFFSET('Smelter Reference List'!$I$4,$S1054-4,0))</f>
        <v/>
      </c>
      <c r="K1054" s="295"/>
      <c r="L1054" s="295"/>
      <c r="M1054" s="295"/>
      <c r="N1054" s="295"/>
      <c r="O1054" s="295"/>
      <c r="P1054" s="295"/>
      <c r="Q1054" s="296"/>
      <c r="R1054" s="227"/>
      <c r="S1054" s="228" t="e">
        <f>IF(C1054="",NA(),MATCH($B1054&amp;$C1054,'Smelter Reference List'!$J:$J,0))</f>
        <v>#N/A</v>
      </c>
      <c r="T1054" s="229"/>
      <c r="U1054" s="229">
        <f t="shared" ca="1" si="34"/>
        <v>0</v>
      </c>
      <c r="V1054" s="229"/>
      <c r="W1054" s="229"/>
      <c r="Y1054" s="223" t="str">
        <f t="shared" si="35"/>
        <v/>
      </c>
    </row>
    <row r="1055" spans="1:25" s="223" customFormat="1" ht="20.25">
      <c r="A1055" s="291"/>
      <c r="B1055" s="292" t="str">
        <f>IF(LEN(A1055)=0,"",INDEX('Smelter Reference List'!$A:$A,MATCH($A1055,'Smelter Reference List'!$E:$E,0)))</f>
        <v/>
      </c>
      <c r="C1055" s="298" t="str">
        <f>IF(LEN(A1055)=0,"",INDEX('Smelter Reference List'!$C:$C,MATCH($A1055,'Smelter Reference List'!$E:$E,0)))</f>
        <v/>
      </c>
      <c r="D1055" s="292" t="str">
        <f ca="1">IF(ISERROR($S1055),"",OFFSET('Smelter Reference List'!$C$4,$S1055-4,0)&amp;"")</f>
        <v/>
      </c>
      <c r="E1055" s="292" t="str">
        <f ca="1">IF(ISERROR($S1055),"",OFFSET('Smelter Reference List'!$D$4,$S1055-4,0)&amp;"")</f>
        <v/>
      </c>
      <c r="F1055" s="292" t="str">
        <f ca="1">IF(ISERROR($S1055),"",OFFSET('Smelter Reference List'!$E$4,$S1055-4,0))</f>
        <v/>
      </c>
      <c r="G1055" s="292" t="str">
        <f ca="1">IF(C1055=$U$4,"Enter smelter details", IF(ISERROR($S1055),"",OFFSET('Smelter Reference List'!$F$4,$S1055-4,0)))</f>
        <v/>
      </c>
      <c r="H1055" s="293" t="str">
        <f ca="1">IF(ISERROR($S1055),"",OFFSET('Smelter Reference List'!$G$4,$S1055-4,0))</f>
        <v/>
      </c>
      <c r="I1055" s="294" t="str">
        <f ca="1">IF(ISERROR($S1055),"",OFFSET('Smelter Reference List'!$H$4,$S1055-4,0))</f>
        <v/>
      </c>
      <c r="J1055" s="294" t="str">
        <f ca="1">IF(ISERROR($S1055),"",OFFSET('Smelter Reference List'!$I$4,$S1055-4,0))</f>
        <v/>
      </c>
      <c r="K1055" s="295"/>
      <c r="L1055" s="295"/>
      <c r="M1055" s="295"/>
      <c r="N1055" s="295"/>
      <c r="O1055" s="295"/>
      <c r="P1055" s="295"/>
      <c r="Q1055" s="296"/>
      <c r="R1055" s="227"/>
      <c r="S1055" s="228" t="e">
        <f>IF(C1055="",NA(),MATCH($B1055&amp;$C1055,'Smelter Reference List'!$J:$J,0))</f>
        <v>#N/A</v>
      </c>
      <c r="T1055" s="229"/>
      <c r="U1055" s="229">
        <f t="shared" ca="1" si="34"/>
        <v>0</v>
      </c>
      <c r="V1055" s="229"/>
      <c r="W1055" s="229"/>
      <c r="Y1055" s="223" t="str">
        <f t="shared" si="35"/>
        <v/>
      </c>
    </row>
    <row r="1056" spans="1:25" s="223" customFormat="1" ht="20.25">
      <c r="A1056" s="291"/>
      <c r="B1056" s="292" t="str">
        <f>IF(LEN(A1056)=0,"",INDEX('Smelter Reference List'!$A:$A,MATCH($A1056,'Smelter Reference List'!$E:$E,0)))</f>
        <v/>
      </c>
      <c r="C1056" s="298" t="str">
        <f>IF(LEN(A1056)=0,"",INDEX('Smelter Reference List'!$C:$C,MATCH($A1056,'Smelter Reference List'!$E:$E,0)))</f>
        <v/>
      </c>
      <c r="D1056" s="292" t="str">
        <f ca="1">IF(ISERROR($S1056),"",OFFSET('Smelter Reference List'!$C$4,$S1056-4,0)&amp;"")</f>
        <v/>
      </c>
      <c r="E1056" s="292" t="str">
        <f ca="1">IF(ISERROR($S1056),"",OFFSET('Smelter Reference List'!$D$4,$S1056-4,0)&amp;"")</f>
        <v/>
      </c>
      <c r="F1056" s="292" t="str">
        <f ca="1">IF(ISERROR($S1056),"",OFFSET('Smelter Reference List'!$E$4,$S1056-4,0))</f>
        <v/>
      </c>
      <c r="G1056" s="292" t="str">
        <f ca="1">IF(C1056=$U$4,"Enter smelter details", IF(ISERROR($S1056),"",OFFSET('Smelter Reference List'!$F$4,$S1056-4,0)))</f>
        <v/>
      </c>
      <c r="H1056" s="293" t="str">
        <f ca="1">IF(ISERROR($S1056),"",OFFSET('Smelter Reference List'!$G$4,$S1056-4,0))</f>
        <v/>
      </c>
      <c r="I1056" s="294" t="str">
        <f ca="1">IF(ISERROR($S1056),"",OFFSET('Smelter Reference List'!$H$4,$S1056-4,0))</f>
        <v/>
      </c>
      <c r="J1056" s="294" t="str">
        <f ca="1">IF(ISERROR($S1056),"",OFFSET('Smelter Reference List'!$I$4,$S1056-4,0))</f>
        <v/>
      </c>
      <c r="K1056" s="295"/>
      <c r="L1056" s="295"/>
      <c r="M1056" s="295"/>
      <c r="N1056" s="295"/>
      <c r="O1056" s="295"/>
      <c r="P1056" s="295"/>
      <c r="Q1056" s="296"/>
      <c r="R1056" s="227"/>
      <c r="S1056" s="228" t="e">
        <f>IF(C1056="",NA(),MATCH($B1056&amp;$C1056,'Smelter Reference List'!$J:$J,0))</f>
        <v>#N/A</v>
      </c>
      <c r="T1056" s="229"/>
      <c r="U1056" s="229">
        <f t="shared" ca="1" si="34"/>
        <v>0</v>
      </c>
      <c r="V1056" s="229"/>
      <c r="W1056" s="229"/>
      <c r="Y1056" s="223" t="str">
        <f t="shared" si="35"/>
        <v/>
      </c>
    </row>
    <row r="1057" spans="1:25" s="223" customFormat="1" ht="20.25">
      <c r="A1057" s="291"/>
      <c r="B1057" s="292" t="str">
        <f>IF(LEN(A1057)=0,"",INDEX('Smelter Reference List'!$A:$A,MATCH($A1057,'Smelter Reference List'!$E:$E,0)))</f>
        <v/>
      </c>
      <c r="C1057" s="298" t="str">
        <f>IF(LEN(A1057)=0,"",INDEX('Smelter Reference List'!$C:$C,MATCH($A1057,'Smelter Reference List'!$E:$E,0)))</f>
        <v/>
      </c>
      <c r="D1057" s="292" t="str">
        <f ca="1">IF(ISERROR($S1057),"",OFFSET('Smelter Reference List'!$C$4,$S1057-4,0)&amp;"")</f>
        <v/>
      </c>
      <c r="E1057" s="292" t="str">
        <f ca="1">IF(ISERROR($S1057),"",OFFSET('Smelter Reference List'!$D$4,$S1057-4,0)&amp;"")</f>
        <v/>
      </c>
      <c r="F1057" s="292" t="str">
        <f ca="1">IF(ISERROR($S1057),"",OFFSET('Smelter Reference List'!$E$4,$S1057-4,0))</f>
        <v/>
      </c>
      <c r="G1057" s="292" t="str">
        <f ca="1">IF(C1057=$U$4,"Enter smelter details", IF(ISERROR($S1057),"",OFFSET('Smelter Reference List'!$F$4,$S1057-4,0)))</f>
        <v/>
      </c>
      <c r="H1057" s="293" t="str">
        <f ca="1">IF(ISERROR($S1057),"",OFFSET('Smelter Reference List'!$G$4,$S1057-4,0))</f>
        <v/>
      </c>
      <c r="I1057" s="294" t="str">
        <f ca="1">IF(ISERROR($S1057),"",OFFSET('Smelter Reference List'!$H$4,$S1057-4,0))</f>
        <v/>
      </c>
      <c r="J1057" s="294" t="str">
        <f ca="1">IF(ISERROR($S1057),"",OFFSET('Smelter Reference List'!$I$4,$S1057-4,0))</f>
        <v/>
      </c>
      <c r="K1057" s="295"/>
      <c r="L1057" s="295"/>
      <c r="M1057" s="295"/>
      <c r="N1057" s="295"/>
      <c r="O1057" s="295"/>
      <c r="P1057" s="295"/>
      <c r="Q1057" s="296"/>
      <c r="R1057" s="227"/>
      <c r="S1057" s="228" t="e">
        <f>IF(C1057="",NA(),MATCH($B1057&amp;$C1057,'Smelter Reference List'!$J:$J,0))</f>
        <v>#N/A</v>
      </c>
      <c r="T1057" s="229"/>
      <c r="U1057" s="229">
        <f t="shared" ca="1" si="34"/>
        <v>0</v>
      </c>
      <c r="V1057" s="229"/>
      <c r="W1057" s="229"/>
      <c r="Y1057" s="223" t="str">
        <f t="shared" si="35"/>
        <v/>
      </c>
    </row>
    <row r="1058" spans="1:25" s="223" customFormat="1" ht="20.25">
      <c r="A1058" s="291"/>
      <c r="B1058" s="292" t="str">
        <f>IF(LEN(A1058)=0,"",INDEX('Smelter Reference List'!$A:$A,MATCH($A1058,'Smelter Reference List'!$E:$E,0)))</f>
        <v/>
      </c>
      <c r="C1058" s="298" t="str">
        <f>IF(LEN(A1058)=0,"",INDEX('Smelter Reference List'!$C:$C,MATCH($A1058,'Smelter Reference List'!$E:$E,0)))</f>
        <v/>
      </c>
      <c r="D1058" s="292" t="str">
        <f ca="1">IF(ISERROR($S1058),"",OFFSET('Smelter Reference List'!$C$4,$S1058-4,0)&amp;"")</f>
        <v/>
      </c>
      <c r="E1058" s="292" t="str">
        <f ca="1">IF(ISERROR($S1058),"",OFFSET('Smelter Reference List'!$D$4,$S1058-4,0)&amp;"")</f>
        <v/>
      </c>
      <c r="F1058" s="292" t="str">
        <f ca="1">IF(ISERROR($S1058),"",OFFSET('Smelter Reference List'!$E$4,$S1058-4,0))</f>
        <v/>
      </c>
      <c r="G1058" s="292" t="str">
        <f ca="1">IF(C1058=$U$4,"Enter smelter details", IF(ISERROR($S1058),"",OFFSET('Smelter Reference List'!$F$4,$S1058-4,0)))</f>
        <v/>
      </c>
      <c r="H1058" s="293" t="str">
        <f ca="1">IF(ISERROR($S1058),"",OFFSET('Smelter Reference List'!$G$4,$S1058-4,0))</f>
        <v/>
      </c>
      <c r="I1058" s="294" t="str">
        <f ca="1">IF(ISERROR($S1058),"",OFFSET('Smelter Reference List'!$H$4,$S1058-4,0))</f>
        <v/>
      </c>
      <c r="J1058" s="294" t="str">
        <f ca="1">IF(ISERROR($S1058),"",OFFSET('Smelter Reference List'!$I$4,$S1058-4,0))</f>
        <v/>
      </c>
      <c r="K1058" s="295"/>
      <c r="L1058" s="295"/>
      <c r="M1058" s="295"/>
      <c r="N1058" s="295"/>
      <c r="O1058" s="295"/>
      <c r="P1058" s="295"/>
      <c r="Q1058" s="296"/>
      <c r="R1058" s="227"/>
      <c r="S1058" s="228" t="e">
        <f>IF(C1058="",NA(),MATCH($B1058&amp;$C1058,'Smelter Reference List'!$J:$J,0))</f>
        <v>#N/A</v>
      </c>
      <c r="T1058" s="229"/>
      <c r="U1058" s="229">
        <f t="shared" ca="1" si="34"/>
        <v>0</v>
      </c>
      <c r="V1058" s="229"/>
      <c r="W1058" s="229"/>
      <c r="Y1058" s="223" t="str">
        <f t="shared" si="35"/>
        <v/>
      </c>
    </row>
    <row r="1059" spans="1:25" s="223" customFormat="1" ht="20.25">
      <c r="A1059" s="291"/>
      <c r="B1059" s="292" t="str">
        <f>IF(LEN(A1059)=0,"",INDEX('Smelter Reference List'!$A:$A,MATCH($A1059,'Smelter Reference List'!$E:$E,0)))</f>
        <v/>
      </c>
      <c r="C1059" s="298" t="str">
        <f>IF(LEN(A1059)=0,"",INDEX('Smelter Reference List'!$C:$C,MATCH($A1059,'Smelter Reference List'!$E:$E,0)))</f>
        <v/>
      </c>
      <c r="D1059" s="292" t="str">
        <f ca="1">IF(ISERROR($S1059),"",OFFSET('Smelter Reference List'!$C$4,$S1059-4,0)&amp;"")</f>
        <v/>
      </c>
      <c r="E1059" s="292" t="str">
        <f ca="1">IF(ISERROR($S1059),"",OFFSET('Smelter Reference List'!$D$4,$S1059-4,0)&amp;"")</f>
        <v/>
      </c>
      <c r="F1059" s="292" t="str">
        <f ca="1">IF(ISERROR($S1059),"",OFFSET('Smelter Reference List'!$E$4,$S1059-4,0))</f>
        <v/>
      </c>
      <c r="G1059" s="292" t="str">
        <f ca="1">IF(C1059=$U$4,"Enter smelter details", IF(ISERROR($S1059),"",OFFSET('Smelter Reference List'!$F$4,$S1059-4,0)))</f>
        <v/>
      </c>
      <c r="H1059" s="293" t="str">
        <f ca="1">IF(ISERROR($S1059),"",OFFSET('Smelter Reference List'!$G$4,$S1059-4,0))</f>
        <v/>
      </c>
      <c r="I1059" s="294" t="str">
        <f ca="1">IF(ISERROR($S1059),"",OFFSET('Smelter Reference List'!$H$4,$S1059-4,0))</f>
        <v/>
      </c>
      <c r="J1059" s="294" t="str">
        <f ca="1">IF(ISERROR($S1059),"",OFFSET('Smelter Reference List'!$I$4,$S1059-4,0))</f>
        <v/>
      </c>
      <c r="K1059" s="295"/>
      <c r="L1059" s="295"/>
      <c r="M1059" s="295"/>
      <c r="N1059" s="295"/>
      <c r="O1059" s="295"/>
      <c r="P1059" s="295"/>
      <c r="Q1059" s="296"/>
      <c r="R1059" s="227"/>
      <c r="S1059" s="228" t="e">
        <f>IF(C1059="",NA(),MATCH($B1059&amp;$C1059,'Smelter Reference List'!$J:$J,0))</f>
        <v>#N/A</v>
      </c>
      <c r="T1059" s="229"/>
      <c r="U1059" s="229">
        <f t="shared" ca="1" si="34"/>
        <v>0</v>
      </c>
      <c r="V1059" s="229"/>
      <c r="W1059" s="229"/>
      <c r="Y1059" s="223" t="str">
        <f t="shared" si="35"/>
        <v/>
      </c>
    </row>
    <row r="1060" spans="1:25" s="223" customFormat="1" ht="20.25">
      <c r="A1060" s="291"/>
      <c r="B1060" s="292" t="str">
        <f>IF(LEN(A1060)=0,"",INDEX('Smelter Reference List'!$A:$A,MATCH($A1060,'Smelter Reference List'!$E:$E,0)))</f>
        <v/>
      </c>
      <c r="C1060" s="298" t="str">
        <f>IF(LEN(A1060)=0,"",INDEX('Smelter Reference List'!$C:$C,MATCH($A1060,'Smelter Reference List'!$E:$E,0)))</f>
        <v/>
      </c>
      <c r="D1060" s="292" t="str">
        <f ca="1">IF(ISERROR($S1060),"",OFFSET('Smelter Reference List'!$C$4,$S1060-4,0)&amp;"")</f>
        <v/>
      </c>
      <c r="E1060" s="292" t="str">
        <f ca="1">IF(ISERROR($S1060),"",OFFSET('Smelter Reference List'!$D$4,$S1060-4,0)&amp;"")</f>
        <v/>
      </c>
      <c r="F1060" s="292" t="str">
        <f ca="1">IF(ISERROR($S1060),"",OFFSET('Smelter Reference List'!$E$4,$S1060-4,0))</f>
        <v/>
      </c>
      <c r="G1060" s="292" t="str">
        <f ca="1">IF(C1060=$U$4,"Enter smelter details", IF(ISERROR($S1060),"",OFFSET('Smelter Reference List'!$F$4,$S1060-4,0)))</f>
        <v/>
      </c>
      <c r="H1060" s="293" t="str">
        <f ca="1">IF(ISERROR($S1060),"",OFFSET('Smelter Reference List'!$G$4,$S1060-4,0))</f>
        <v/>
      </c>
      <c r="I1060" s="294" t="str">
        <f ca="1">IF(ISERROR($S1060),"",OFFSET('Smelter Reference List'!$H$4,$S1060-4,0))</f>
        <v/>
      </c>
      <c r="J1060" s="294" t="str">
        <f ca="1">IF(ISERROR($S1060),"",OFFSET('Smelter Reference List'!$I$4,$S1060-4,0))</f>
        <v/>
      </c>
      <c r="K1060" s="295"/>
      <c r="L1060" s="295"/>
      <c r="M1060" s="295"/>
      <c r="N1060" s="295"/>
      <c r="O1060" s="295"/>
      <c r="P1060" s="295"/>
      <c r="Q1060" s="296"/>
      <c r="R1060" s="227"/>
      <c r="S1060" s="228" t="e">
        <f>IF(C1060="",NA(),MATCH($B1060&amp;$C1060,'Smelter Reference List'!$J:$J,0))</f>
        <v>#N/A</v>
      </c>
      <c r="T1060" s="229"/>
      <c r="U1060" s="229">
        <f t="shared" ca="1" si="34"/>
        <v>0</v>
      </c>
      <c r="V1060" s="229"/>
      <c r="W1060" s="229"/>
      <c r="Y1060" s="223" t="str">
        <f t="shared" si="35"/>
        <v/>
      </c>
    </row>
    <row r="1061" spans="1:25" s="223" customFormat="1" ht="20.25">
      <c r="A1061" s="291"/>
      <c r="B1061" s="292" t="str">
        <f>IF(LEN(A1061)=0,"",INDEX('Smelter Reference List'!$A:$A,MATCH($A1061,'Smelter Reference List'!$E:$E,0)))</f>
        <v/>
      </c>
      <c r="C1061" s="298" t="str">
        <f>IF(LEN(A1061)=0,"",INDEX('Smelter Reference List'!$C:$C,MATCH($A1061,'Smelter Reference List'!$E:$E,0)))</f>
        <v/>
      </c>
      <c r="D1061" s="292" t="str">
        <f ca="1">IF(ISERROR($S1061),"",OFFSET('Smelter Reference List'!$C$4,$S1061-4,0)&amp;"")</f>
        <v/>
      </c>
      <c r="E1061" s="292" t="str">
        <f ca="1">IF(ISERROR($S1061),"",OFFSET('Smelter Reference List'!$D$4,$S1061-4,0)&amp;"")</f>
        <v/>
      </c>
      <c r="F1061" s="292" t="str">
        <f ca="1">IF(ISERROR($S1061),"",OFFSET('Smelter Reference List'!$E$4,$S1061-4,0))</f>
        <v/>
      </c>
      <c r="G1061" s="292" t="str">
        <f ca="1">IF(C1061=$U$4,"Enter smelter details", IF(ISERROR($S1061),"",OFFSET('Smelter Reference List'!$F$4,$S1061-4,0)))</f>
        <v/>
      </c>
      <c r="H1061" s="293" t="str">
        <f ca="1">IF(ISERROR($S1061),"",OFFSET('Smelter Reference List'!$G$4,$S1061-4,0))</f>
        <v/>
      </c>
      <c r="I1061" s="294" t="str">
        <f ca="1">IF(ISERROR($S1061),"",OFFSET('Smelter Reference List'!$H$4,$S1061-4,0))</f>
        <v/>
      </c>
      <c r="J1061" s="294" t="str">
        <f ca="1">IF(ISERROR($S1061),"",OFFSET('Smelter Reference List'!$I$4,$S1061-4,0))</f>
        <v/>
      </c>
      <c r="K1061" s="295"/>
      <c r="L1061" s="295"/>
      <c r="M1061" s="295"/>
      <c r="N1061" s="295"/>
      <c r="O1061" s="295"/>
      <c r="P1061" s="295"/>
      <c r="Q1061" s="296"/>
      <c r="R1061" s="227"/>
      <c r="S1061" s="228" t="e">
        <f>IF(C1061="",NA(),MATCH($B1061&amp;$C1061,'Smelter Reference List'!$J:$J,0))</f>
        <v>#N/A</v>
      </c>
      <c r="T1061" s="229"/>
      <c r="U1061" s="229">
        <f t="shared" ca="1" si="34"/>
        <v>0</v>
      </c>
      <c r="V1061" s="229"/>
      <c r="W1061" s="229"/>
      <c r="Y1061" s="223" t="str">
        <f t="shared" si="35"/>
        <v/>
      </c>
    </row>
    <row r="1062" spans="1:25" s="223" customFormat="1" ht="20.25">
      <c r="A1062" s="291"/>
      <c r="B1062" s="292" t="str">
        <f>IF(LEN(A1062)=0,"",INDEX('Smelter Reference List'!$A:$A,MATCH($A1062,'Smelter Reference List'!$E:$E,0)))</f>
        <v/>
      </c>
      <c r="C1062" s="298" t="str">
        <f>IF(LEN(A1062)=0,"",INDEX('Smelter Reference List'!$C:$C,MATCH($A1062,'Smelter Reference List'!$E:$E,0)))</f>
        <v/>
      </c>
      <c r="D1062" s="292" t="str">
        <f ca="1">IF(ISERROR($S1062),"",OFFSET('Smelter Reference List'!$C$4,$S1062-4,0)&amp;"")</f>
        <v/>
      </c>
      <c r="E1062" s="292" t="str">
        <f ca="1">IF(ISERROR($S1062),"",OFFSET('Smelter Reference List'!$D$4,$S1062-4,0)&amp;"")</f>
        <v/>
      </c>
      <c r="F1062" s="292" t="str">
        <f ca="1">IF(ISERROR($S1062),"",OFFSET('Smelter Reference List'!$E$4,$S1062-4,0))</f>
        <v/>
      </c>
      <c r="G1062" s="292" t="str">
        <f ca="1">IF(C1062=$U$4,"Enter smelter details", IF(ISERROR($S1062),"",OFFSET('Smelter Reference List'!$F$4,$S1062-4,0)))</f>
        <v/>
      </c>
      <c r="H1062" s="293" t="str">
        <f ca="1">IF(ISERROR($S1062),"",OFFSET('Smelter Reference List'!$G$4,$S1062-4,0))</f>
        <v/>
      </c>
      <c r="I1062" s="294" t="str">
        <f ca="1">IF(ISERROR($S1062),"",OFFSET('Smelter Reference List'!$H$4,$S1062-4,0))</f>
        <v/>
      </c>
      <c r="J1062" s="294" t="str">
        <f ca="1">IF(ISERROR($S1062),"",OFFSET('Smelter Reference List'!$I$4,$S1062-4,0))</f>
        <v/>
      </c>
      <c r="K1062" s="295"/>
      <c r="L1062" s="295"/>
      <c r="M1062" s="295"/>
      <c r="N1062" s="295"/>
      <c r="O1062" s="295"/>
      <c r="P1062" s="295"/>
      <c r="Q1062" s="296"/>
      <c r="R1062" s="227"/>
      <c r="S1062" s="228" t="e">
        <f>IF(C1062="",NA(),MATCH($B1062&amp;$C1062,'Smelter Reference List'!$J:$J,0))</f>
        <v>#N/A</v>
      </c>
      <c r="T1062" s="229"/>
      <c r="U1062" s="229">
        <f t="shared" ca="1" si="34"/>
        <v>0</v>
      </c>
      <c r="V1062" s="229"/>
      <c r="W1062" s="229"/>
      <c r="Y1062" s="223" t="str">
        <f t="shared" si="35"/>
        <v/>
      </c>
    </row>
    <row r="1063" spans="1:25" s="223" customFormat="1" ht="20.25">
      <c r="A1063" s="291"/>
      <c r="B1063" s="292" t="str">
        <f>IF(LEN(A1063)=0,"",INDEX('Smelter Reference List'!$A:$A,MATCH($A1063,'Smelter Reference List'!$E:$E,0)))</f>
        <v/>
      </c>
      <c r="C1063" s="298" t="str">
        <f>IF(LEN(A1063)=0,"",INDEX('Smelter Reference List'!$C:$C,MATCH($A1063,'Smelter Reference List'!$E:$E,0)))</f>
        <v/>
      </c>
      <c r="D1063" s="292" t="str">
        <f ca="1">IF(ISERROR($S1063),"",OFFSET('Smelter Reference List'!$C$4,$S1063-4,0)&amp;"")</f>
        <v/>
      </c>
      <c r="E1063" s="292" t="str">
        <f ca="1">IF(ISERROR($S1063),"",OFFSET('Smelter Reference List'!$D$4,$S1063-4,0)&amp;"")</f>
        <v/>
      </c>
      <c r="F1063" s="292" t="str">
        <f ca="1">IF(ISERROR($S1063),"",OFFSET('Smelter Reference List'!$E$4,$S1063-4,0))</f>
        <v/>
      </c>
      <c r="G1063" s="292" t="str">
        <f ca="1">IF(C1063=$U$4,"Enter smelter details", IF(ISERROR($S1063),"",OFFSET('Smelter Reference List'!$F$4,$S1063-4,0)))</f>
        <v/>
      </c>
      <c r="H1063" s="293" t="str">
        <f ca="1">IF(ISERROR($S1063),"",OFFSET('Smelter Reference List'!$G$4,$S1063-4,0))</f>
        <v/>
      </c>
      <c r="I1063" s="294" t="str">
        <f ca="1">IF(ISERROR($S1063),"",OFFSET('Smelter Reference List'!$H$4,$S1063-4,0))</f>
        <v/>
      </c>
      <c r="J1063" s="294" t="str">
        <f ca="1">IF(ISERROR($S1063),"",OFFSET('Smelter Reference List'!$I$4,$S1063-4,0))</f>
        <v/>
      </c>
      <c r="K1063" s="295"/>
      <c r="L1063" s="295"/>
      <c r="M1063" s="295"/>
      <c r="N1063" s="295"/>
      <c r="O1063" s="295"/>
      <c r="P1063" s="295"/>
      <c r="Q1063" s="296"/>
      <c r="R1063" s="227"/>
      <c r="S1063" s="228" t="e">
        <f>IF(C1063="",NA(),MATCH($B1063&amp;$C1063,'Smelter Reference List'!$J:$J,0))</f>
        <v>#N/A</v>
      </c>
      <c r="T1063" s="229"/>
      <c r="U1063" s="229">
        <f t="shared" ca="1" si="34"/>
        <v>0</v>
      </c>
      <c r="V1063" s="229"/>
      <c r="W1063" s="229"/>
      <c r="Y1063" s="223" t="str">
        <f t="shared" si="35"/>
        <v/>
      </c>
    </row>
    <row r="1064" spans="1:25" s="223" customFormat="1" ht="20.25">
      <c r="A1064" s="291"/>
      <c r="B1064" s="292" t="str">
        <f>IF(LEN(A1064)=0,"",INDEX('Smelter Reference List'!$A:$A,MATCH($A1064,'Smelter Reference List'!$E:$E,0)))</f>
        <v/>
      </c>
      <c r="C1064" s="298" t="str">
        <f>IF(LEN(A1064)=0,"",INDEX('Smelter Reference List'!$C:$C,MATCH($A1064,'Smelter Reference List'!$E:$E,0)))</f>
        <v/>
      </c>
      <c r="D1064" s="292" t="str">
        <f ca="1">IF(ISERROR($S1064),"",OFFSET('Smelter Reference List'!$C$4,$S1064-4,0)&amp;"")</f>
        <v/>
      </c>
      <c r="E1064" s="292" t="str">
        <f ca="1">IF(ISERROR($S1064),"",OFFSET('Smelter Reference List'!$D$4,$S1064-4,0)&amp;"")</f>
        <v/>
      </c>
      <c r="F1064" s="292" t="str">
        <f ca="1">IF(ISERROR($S1064),"",OFFSET('Smelter Reference List'!$E$4,$S1064-4,0))</f>
        <v/>
      </c>
      <c r="G1064" s="292" t="str">
        <f ca="1">IF(C1064=$U$4,"Enter smelter details", IF(ISERROR($S1064),"",OFFSET('Smelter Reference List'!$F$4,$S1064-4,0)))</f>
        <v/>
      </c>
      <c r="H1064" s="293" t="str">
        <f ca="1">IF(ISERROR($S1064),"",OFFSET('Smelter Reference List'!$G$4,$S1064-4,0))</f>
        <v/>
      </c>
      <c r="I1064" s="294" t="str">
        <f ca="1">IF(ISERROR($S1064),"",OFFSET('Smelter Reference List'!$H$4,$S1064-4,0))</f>
        <v/>
      </c>
      <c r="J1064" s="294" t="str">
        <f ca="1">IF(ISERROR($S1064),"",OFFSET('Smelter Reference List'!$I$4,$S1064-4,0))</f>
        <v/>
      </c>
      <c r="K1064" s="295"/>
      <c r="L1064" s="295"/>
      <c r="M1064" s="295"/>
      <c r="N1064" s="295"/>
      <c r="O1064" s="295"/>
      <c r="P1064" s="295"/>
      <c r="Q1064" s="296"/>
      <c r="R1064" s="227"/>
      <c r="S1064" s="228" t="e">
        <f>IF(C1064="",NA(),MATCH($B1064&amp;$C1064,'Smelter Reference List'!$J:$J,0))</f>
        <v>#N/A</v>
      </c>
      <c r="T1064" s="229"/>
      <c r="U1064" s="229">
        <f t="shared" ca="1" si="34"/>
        <v>0</v>
      </c>
      <c r="V1064" s="229"/>
      <c r="W1064" s="229"/>
      <c r="Y1064" s="223" t="str">
        <f t="shared" si="35"/>
        <v/>
      </c>
    </row>
    <row r="1065" spans="1:25" s="223" customFormat="1" ht="20.25">
      <c r="A1065" s="291"/>
      <c r="B1065" s="292" t="str">
        <f>IF(LEN(A1065)=0,"",INDEX('Smelter Reference List'!$A:$A,MATCH($A1065,'Smelter Reference List'!$E:$E,0)))</f>
        <v/>
      </c>
      <c r="C1065" s="298" t="str">
        <f>IF(LEN(A1065)=0,"",INDEX('Smelter Reference List'!$C:$C,MATCH($A1065,'Smelter Reference List'!$E:$E,0)))</f>
        <v/>
      </c>
      <c r="D1065" s="292" t="str">
        <f ca="1">IF(ISERROR($S1065),"",OFFSET('Smelter Reference List'!$C$4,$S1065-4,0)&amp;"")</f>
        <v/>
      </c>
      <c r="E1065" s="292" t="str">
        <f ca="1">IF(ISERROR($S1065),"",OFFSET('Smelter Reference List'!$D$4,$S1065-4,0)&amp;"")</f>
        <v/>
      </c>
      <c r="F1065" s="292" t="str">
        <f ca="1">IF(ISERROR($S1065),"",OFFSET('Smelter Reference List'!$E$4,$S1065-4,0))</f>
        <v/>
      </c>
      <c r="G1065" s="292" t="str">
        <f ca="1">IF(C1065=$U$4,"Enter smelter details", IF(ISERROR($S1065),"",OFFSET('Smelter Reference List'!$F$4,$S1065-4,0)))</f>
        <v/>
      </c>
      <c r="H1065" s="293" t="str">
        <f ca="1">IF(ISERROR($S1065),"",OFFSET('Smelter Reference List'!$G$4,$S1065-4,0))</f>
        <v/>
      </c>
      <c r="I1065" s="294" t="str">
        <f ca="1">IF(ISERROR($S1065),"",OFFSET('Smelter Reference List'!$H$4,$S1065-4,0))</f>
        <v/>
      </c>
      <c r="J1065" s="294" t="str">
        <f ca="1">IF(ISERROR($S1065),"",OFFSET('Smelter Reference List'!$I$4,$S1065-4,0))</f>
        <v/>
      </c>
      <c r="K1065" s="295"/>
      <c r="L1065" s="295"/>
      <c r="M1065" s="295"/>
      <c r="N1065" s="295"/>
      <c r="O1065" s="295"/>
      <c r="P1065" s="295"/>
      <c r="Q1065" s="296"/>
      <c r="R1065" s="227"/>
      <c r="S1065" s="228" t="e">
        <f>IF(C1065="",NA(),MATCH($B1065&amp;$C1065,'Smelter Reference List'!$J:$J,0))</f>
        <v>#N/A</v>
      </c>
      <c r="T1065" s="229"/>
      <c r="U1065" s="229">
        <f t="shared" ca="1" si="34"/>
        <v>0</v>
      </c>
      <c r="V1065" s="229"/>
      <c r="W1065" s="229"/>
      <c r="Y1065" s="223" t="str">
        <f t="shared" si="35"/>
        <v/>
      </c>
    </row>
    <row r="1066" spans="1:25" s="223" customFormat="1" ht="20.25">
      <c r="A1066" s="291"/>
      <c r="B1066" s="292" t="str">
        <f>IF(LEN(A1066)=0,"",INDEX('Smelter Reference List'!$A:$A,MATCH($A1066,'Smelter Reference List'!$E:$E,0)))</f>
        <v/>
      </c>
      <c r="C1066" s="298" t="str">
        <f>IF(LEN(A1066)=0,"",INDEX('Smelter Reference List'!$C:$C,MATCH($A1066,'Smelter Reference List'!$E:$E,0)))</f>
        <v/>
      </c>
      <c r="D1066" s="292" t="str">
        <f ca="1">IF(ISERROR($S1066),"",OFFSET('Smelter Reference List'!$C$4,$S1066-4,0)&amp;"")</f>
        <v/>
      </c>
      <c r="E1066" s="292" t="str">
        <f ca="1">IF(ISERROR($S1066),"",OFFSET('Smelter Reference List'!$D$4,$S1066-4,0)&amp;"")</f>
        <v/>
      </c>
      <c r="F1066" s="292" t="str">
        <f ca="1">IF(ISERROR($S1066),"",OFFSET('Smelter Reference List'!$E$4,$S1066-4,0))</f>
        <v/>
      </c>
      <c r="G1066" s="292" t="str">
        <f ca="1">IF(C1066=$U$4,"Enter smelter details", IF(ISERROR($S1066),"",OFFSET('Smelter Reference List'!$F$4,$S1066-4,0)))</f>
        <v/>
      </c>
      <c r="H1066" s="293" t="str">
        <f ca="1">IF(ISERROR($S1066),"",OFFSET('Smelter Reference List'!$G$4,$S1066-4,0))</f>
        <v/>
      </c>
      <c r="I1066" s="294" t="str">
        <f ca="1">IF(ISERROR($S1066),"",OFFSET('Smelter Reference List'!$H$4,$S1066-4,0))</f>
        <v/>
      </c>
      <c r="J1066" s="294" t="str">
        <f ca="1">IF(ISERROR($S1066),"",OFFSET('Smelter Reference List'!$I$4,$S1066-4,0))</f>
        <v/>
      </c>
      <c r="K1066" s="295"/>
      <c r="L1066" s="295"/>
      <c r="M1066" s="295"/>
      <c r="N1066" s="295"/>
      <c r="O1066" s="295"/>
      <c r="P1066" s="295"/>
      <c r="Q1066" s="296"/>
      <c r="R1066" s="227"/>
      <c r="S1066" s="228" t="e">
        <f>IF(C1066="",NA(),MATCH($B1066&amp;$C1066,'Smelter Reference List'!$J:$J,0))</f>
        <v>#N/A</v>
      </c>
      <c r="T1066" s="229"/>
      <c r="U1066" s="229">
        <f t="shared" ca="1" si="34"/>
        <v>0</v>
      </c>
      <c r="V1066" s="229"/>
      <c r="W1066" s="229"/>
      <c r="Y1066" s="223" t="str">
        <f t="shared" si="35"/>
        <v/>
      </c>
    </row>
    <row r="1067" spans="1:25" s="223" customFormat="1" ht="20.25">
      <c r="A1067" s="291"/>
      <c r="B1067" s="292" t="str">
        <f>IF(LEN(A1067)=0,"",INDEX('Smelter Reference List'!$A:$A,MATCH($A1067,'Smelter Reference List'!$E:$E,0)))</f>
        <v/>
      </c>
      <c r="C1067" s="298" t="str">
        <f>IF(LEN(A1067)=0,"",INDEX('Smelter Reference List'!$C:$C,MATCH($A1067,'Smelter Reference List'!$E:$E,0)))</f>
        <v/>
      </c>
      <c r="D1067" s="292" t="str">
        <f ca="1">IF(ISERROR($S1067),"",OFFSET('Smelter Reference List'!$C$4,$S1067-4,0)&amp;"")</f>
        <v/>
      </c>
      <c r="E1067" s="292" t="str">
        <f ca="1">IF(ISERROR($S1067),"",OFFSET('Smelter Reference List'!$D$4,$S1067-4,0)&amp;"")</f>
        <v/>
      </c>
      <c r="F1067" s="292" t="str">
        <f ca="1">IF(ISERROR($S1067),"",OFFSET('Smelter Reference List'!$E$4,$S1067-4,0))</f>
        <v/>
      </c>
      <c r="G1067" s="292" t="str">
        <f ca="1">IF(C1067=$U$4,"Enter smelter details", IF(ISERROR($S1067),"",OFFSET('Smelter Reference List'!$F$4,$S1067-4,0)))</f>
        <v/>
      </c>
      <c r="H1067" s="293" t="str">
        <f ca="1">IF(ISERROR($S1067),"",OFFSET('Smelter Reference List'!$G$4,$S1067-4,0))</f>
        <v/>
      </c>
      <c r="I1067" s="294" t="str">
        <f ca="1">IF(ISERROR($S1067),"",OFFSET('Smelter Reference List'!$H$4,$S1067-4,0))</f>
        <v/>
      </c>
      <c r="J1067" s="294" t="str">
        <f ca="1">IF(ISERROR($S1067),"",OFFSET('Smelter Reference List'!$I$4,$S1067-4,0))</f>
        <v/>
      </c>
      <c r="K1067" s="295"/>
      <c r="L1067" s="295"/>
      <c r="M1067" s="295"/>
      <c r="N1067" s="295"/>
      <c r="O1067" s="295"/>
      <c r="P1067" s="295"/>
      <c r="Q1067" s="296"/>
      <c r="R1067" s="227"/>
      <c r="S1067" s="228" t="e">
        <f>IF(C1067="",NA(),MATCH($B1067&amp;$C1067,'Smelter Reference List'!$J:$J,0))</f>
        <v>#N/A</v>
      </c>
      <c r="T1067" s="229"/>
      <c r="U1067" s="229">
        <f t="shared" ca="1" si="34"/>
        <v>0</v>
      </c>
      <c r="V1067" s="229"/>
      <c r="W1067" s="229"/>
      <c r="Y1067" s="223" t="str">
        <f t="shared" si="35"/>
        <v/>
      </c>
    </row>
    <row r="1068" spans="1:25" s="223" customFormat="1" ht="20.25">
      <c r="A1068" s="291"/>
      <c r="B1068" s="292" t="str">
        <f>IF(LEN(A1068)=0,"",INDEX('Smelter Reference List'!$A:$A,MATCH($A1068,'Smelter Reference List'!$E:$E,0)))</f>
        <v/>
      </c>
      <c r="C1068" s="298" t="str">
        <f>IF(LEN(A1068)=0,"",INDEX('Smelter Reference List'!$C:$C,MATCH($A1068,'Smelter Reference List'!$E:$E,0)))</f>
        <v/>
      </c>
      <c r="D1068" s="292" t="str">
        <f ca="1">IF(ISERROR($S1068),"",OFFSET('Smelter Reference List'!$C$4,$S1068-4,0)&amp;"")</f>
        <v/>
      </c>
      <c r="E1068" s="292" t="str">
        <f ca="1">IF(ISERROR($S1068),"",OFFSET('Smelter Reference List'!$D$4,$S1068-4,0)&amp;"")</f>
        <v/>
      </c>
      <c r="F1068" s="292" t="str">
        <f ca="1">IF(ISERROR($S1068),"",OFFSET('Smelter Reference List'!$E$4,$S1068-4,0))</f>
        <v/>
      </c>
      <c r="G1068" s="292" t="str">
        <f ca="1">IF(C1068=$U$4,"Enter smelter details", IF(ISERROR($S1068),"",OFFSET('Smelter Reference List'!$F$4,$S1068-4,0)))</f>
        <v/>
      </c>
      <c r="H1068" s="293" t="str">
        <f ca="1">IF(ISERROR($S1068),"",OFFSET('Smelter Reference List'!$G$4,$S1068-4,0))</f>
        <v/>
      </c>
      <c r="I1068" s="294" t="str">
        <f ca="1">IF(ISERROR($S1068),"",OFFSET('Smelter Reference List'!$H$4,$S1068-4,0))</f>
        <v/>
      </c>
      <c r="J1068" s="294" t="str">
        <f ca="1">IF(ISERROR($S1068),"",OFFSET('Smelter Reference List'!$I$4,$S1068-4,0))</f>
        <v/>
      </c>
      <c r="K1068" s="295"/>
      <c r="L1068" s="295"/>
      <c r="M1068" s="295"/>
      <c r="N1068" s="295"/>
      <c r="O1068" s="295"/>
      <c r="P1068" s="295"/>
      <c r="Q1068" s="296"/>
      <c r="R1068" s="227"/>
      <c r="S1068" s="228" t="e">
        <f>IF(C1068="",NA(),MATCH($B1068&amp;$C1068,'Smelter Reference List'!$J:$J,0))</f>
        <v>#N/A</v>
      </c>
      <c r="T1068" s="229"/>
      <c r="U1068" s="229">
        <f t="shared" ca="1" si="34"/>
        <v>0</v>
      </c>
      <c r="V1068" s="229"/>
      <c r="W1068" s="229"/>
      <c r="Y1068" s="223" t="str">
        <f t="shared" si="35"/>
        <v/>
      </c>
    </row>
    <row r="1069" spans="1:25" s="223" customFormat="1" ht="20.25">
      <c r="A1069" s="291"/>
      <c r="B1069" s="292" t="str">
        <f>IF(LEN(A1069)=0,"",INDEX('Smelter Reference List'!$A:$A,MATCH($A1069,'Smelter Reference List'!$E:$E,0)))</f>
        <v/>
      </c>
      <c r="C1069" s="298" t="str">
        <f>IF(LEN(A1069)=0,"",INDEX('Smelter Reference List'!$C:$C,MATCH($A1069,'Smelter Reference List'!$E:$E,0)))</f>
        <v/>
      </c>
      <c r="D1069" s="292" t="str">
        <f ca="1">IF(ISERROR($S1069),"",OFFSET('Smelter Reference List'!$C$4,$S1069-4,0)&amp;"")</f>
        <v/>
      </c>
      <c r="E1069" s="292" t="str">
        <f ca="1">IF(ISERROR($S1069),"",OFFSET('Smelter Reference List'!$D$4,$S1069-4,0)&amp;"")</f>
        <v/>
      </c>
      <c r="F1069" s="292" t="str">
        <f ca="1">IF(ISERROR($S1069),"",OFFSET('Smelter Reference List'!$E$4,$S1069-4,0))</f>
        <v/>
      </c>
      <c r="G1069" s="292" t="str">
        <f ca="1">IF(C1069=$U$4,"Enter smelter details", IF(ISERROR($S1069),"",OFFSET('Smelter Reference List'!$F$4,$S1069-4,0)))</f>
        <v/>
      </c>
      <c r="H1069" s="293" t="str">
        <f ca="1">IF(ISERROR($S1069),"",OFFSET('Smelter Reference List'!$G$4,$S1069-4,0))</f>
        <v/>
      </c>
      <c r="I1069" s="294" t="str">
        <f ca="1">IF(ISERROR($S1069),"",OFFSET('Smelter Reference List'!$H$4,$S1069-4,0))</f>
        <v/>
      </c>
      <c r="J1069" s="294" t="str">
        <f ca="1">IF(ISERROR($S1069),"",OFFSET('Smelter Reference List'!$I$4,$S1069-4,0))</f>
        <v/>
      </c>
      <c r="K1069" s="295"/>
      <c r="L1069" s="295"/>
      <c r="M1069" s="295"/>
      <c r="N1069" s="295"/>
      <c r="O1069" s="295"/>
      <c r="P1069" s="295"/>
      <c r="Q1069" s="296"/>
      <c r="R1069" s="227"/>
      <c r="S1069" s="228" t="e">
        <f>IF(C1069="",NA(),MATCH($B1069&amp;$C1069,'Smelter Reference List'!$J:$J,0))</f>
        <v>#N/A</v>
      </c>
      <c r="T1069" s="229"/>
      <c r="U1069" s="229">
        <f t="shared" ca="1" si="34"/>
        <v>0</v>
      </c>
      <c r="V1069" s="229"/>
      <c r="W1069" s="229"/>
      <c r="Y1069" s="223" t="str">
        <f t="shared" si="35"/>
        <v/>
      </c>
    </row>
    <row r="1070" spans="1:25" s="223" customFormat="1" ht="20.25">
      <c r="A1070" s="291"/>
      <c r="B1070" s="292" t="str">
        <f>IF(LEN(A1070)=0,"",INDEX('Smelter Reference List'!$A:$A,MATCH($A1070,'Smelter Reference List'!$E:$E,0)))</f>
        <v/>
      </c>
      <c r="C1070" s="298" t="str">
        <f>IF(LEN(A1070)=0,"",INDEX('Smelter Reference List'!$C:$C,MATCH($A1070,'Smelter Reference List'!$E:$E,0)))</f>
        <v/>
      </c>
      <c r="D1070" s="292" t="str">
        <f ca="1">IF(ISERROR($S1070),"",OFFSET('Smelter Reference List'!$C$4,$S1070-4,0)&amp;"")</f>
        <v/>
      </c>
      <c r="E1070" s="292" t="str">
        <f ca="1">IF(ISERROR($S1070),"",OFFSET('Smelter Reference List'!$D$4,$S1070-4,0)&amp;"")</f>
        <v/>
      </c>
      <c r="F1070" s="292" t="str">
        <f ca="1">IF(ISERROR($S1070),"",OFFSET('Smelter Reference List'!$E$4,$S1070-4,0))</f>
        <v/>
      </c>
      <c r="G1070" s="292" t="str">
        <f ca="1">IF(C1070=$U$4,"Enter smelter details", IF(ISERROR($S1070),"",OFFSET('Smelter Reference List'!$F$4,$S1070-4,0)))</f>
        <v/>
      </c>
      <c r="H1070" s="293" t="str">
        <f ca="1">IF(ISERROR($S1070),"",OFFSET('Smelter Reference List'!$G$4,$S1070-4,0))</f>
        <v/>
      </c>
      <c r="I1070" s="294" t="str">
        <f ca="1">IF(ISERROR($S1070),"",OFFSET('Smelter Reference List'!$H$4,$S1070-4,0))</f>
        <v/>
      </c>
      <c r="J1070" s="294" t="str">
        <f ca="1">IF(ISERROR($S1070),"",OFFSET('Smelter Reference List'!$I$4,$S1070-4,0))</f>
        <v/>
      </c>
      <c r="K1070" s="295"/>
      <c r="L1070" s="295"/>
      <c r="M1070" s="295"/>
      <c r="N1070" s="295"/>
      <c r="O1070" s="295"/>
      <c r="P1070" s="295"/>
      <c r="Q1070" s="296"/>
      <c r="R1070" s="227"/>
      <c r="S1070" s="228" t="e">
        <f>IF(C1070="",NA(),MATCH($B1070&amp;$C1070,'Smelter Reference List'!$J:$J,0))</f>
        <v>#N/A</v>
      </c>
      <c r="T1070" s="229"/>
      <c r="U1070" s="229">
        <f t="shared" ca="1" si="34"/>
        <v>0</v>
      </c>
      <c r="V1070" s="229"/>
      <c r="W1070" s="229"/>
      <c r="Y1070" s="223" t="str">
        <f t="shared" si="35"/>
        <v/>
      </c>
    </row>
    <row r="1071" spans="1:25" s="223" customFormat="1" ht="20.25">
      <c r="A1071" s="291"/>
      <c r="B1071" s="292" t="str">
        <f>IF(LEN(A1071)=0,"",INDEX('Smelter Reference List'!$A:$A,MATCH($A1071,'Smelter Reference List'!$E:$E,0)))</f>
        <v/>
      </c>
      <c r="C1071" s="298" t="str">
        <f>IF(LEN(A1071)=0,"",INDEX('Smelter Reference List'!$C:$C,MATCH($A1071,'Smelter Reference List'!$E:$E,0)))</f>
        <v/>
      </c>
      <c r="D1071" s="292" t="str">
        <f ca="1">IF(ISERROR($S1071),"",OFFSET('Smelter Reference List'!$C$4,$S1071-4,0)&amp;"")</f>
        <v/>
      </c>
      <c r="E1071" s="292" t="str">
        <f ca="1">IF(ISERROR($S1071),"",OFFSET('Smelter Reference List'!$D$4,$S1071-4,0)&amp;"")</f>
        <v/>
      </c>
      <c r="F1071" s="292" t="str">
        <f ca="1">IF(ISERROR($S1071),"",OFFSET('Smelter Reference List'!$E$4,$S1071-4,0))</f>
        <v/>
      </c>
      <c r="G1071" s="292" t="str">
        <f ca="1">IF(C1071=$U$4,"Enter smelter details", IF(ISERROR($S1071),"",OFFSET('Smelter Reference List'!$F$4,$S1071-4,0)))</f>
        <v/>
      </c>
      <c r="H1071" s="293" t="str">
        <f ca="1">IF(ISERROR($S1071),"",OFFSET('Smelter Reference List'!$G$4,$S1071-4,0))</f>
        <v/>
      </c>
      <c r="I1071" s="294" t="str">
        <f ca="1">IF(ISERROR($S1071),"",OFFSET('Smelter Reference List'!$H$4,$S1071-4,0))</f>
        <v/>
      </c>
      <c r="J1071" s="294" t="str">
        <f ca="1">IF(ISERROR($S1071),"",OFFSET('Smelter Reference List'!$I$4,$S1071-4,0))</f>
        <v/>
      </c>
      <c r="K1071" s="295"/>
      <c r="L1071" s="295"/>
      <c r="M1071" s="295"/>
      <c r="N1071" s="295"/>
      <c r="O1071" s="295"/>
      <c r="P1071" s="295"/>
      <c r="Q1071" s="296"/>
      <c r="R1071" s="227"/>
      <c r="S1071" s="228" t="e">
        <f>IF(C1071="",NA(),MATCH($B1071&amp;$C1071,'Smelter Reference List'!$J:$J,0))</f>
        <v>#N/A</v>
      </c>
      <c r="T1071" s="229"/>
      <c r="U1071" s="229">
        <f t="shared" ca="1" si="34"/>
        <v>0</v>
      </c>
      <c r="V1071" s="229"/>
      <c r="W1071" s="229"/>
      <c r="Y1071" s="223" t="str">
        <f t="shared" si="35"/>
        <v/>
      </c>
    </row>
    <row r="1072" spans="1:25" s="223" customFormat="1" ht="20.25">
      <c r="A1072" s="291"/>
      <c r="B1072" s="292" t="str">
        <f>IF(LEN(A1072)=0,"",INDEX('Smelter Reference List'!$A:$A,MATCH($A1072,'Smelter Reference List'!$E:$E,0)))</f>
        <v/>
      </c>
      <c r="C1072" s="298" t="str">
        <f>IF(LEN(A1072)=0,"",INDEX('Smelter Reference List'!$C:$C,MATCH($A1072,'Smelter Reference List'!$E:$E,0)))</f>
        <v/>
      </c>
      <c r="D1072" s="292" t="str">
        <f ca="1">IF(ISERROR($S1072),"",OFFSET('Smelter Reference List'!$C$4,$S1072-4,0)&amp;"")</f>
        <v/>
      </c>
      <c r="E1072" s="292" t="str">
        <f ca="1">IF(ISERROR($S1072),"",OFFSET('Smelter Reference List'!$D$4,$S1072-4,0)&amp;"")</f>
        <v/>
      </c>
      <c r="F1072" s="292" t="str">
        <f ca="1">IF(ISERROR($S1072),"",OFFSET('Smelter Reference List'!$E$4,$S1072-4,0))</f>
        <v/>
      </c>
      <c r="G1072" s="292" t="str">
        <f ca="1">IF(C1072=$U$4,"Enter smelter details", IF(ISERROR($S1072),"",OFFSET('Smelter Reference List'!$F$4,$S1072-4,0)))</f>
        <v/>
      </c>
      <c r="H1072" s="293" t="str">
        <f ca="1">IF(ISERROR($S1072),"",OFFSET('Smelter Reference List'!$G$4,$S1072-4,0))</f>
        <v/>
      </c>
      <c r="I1072" s="294" t="str">
        <f ca="1">IF(ISERROR($S1072),"",OFFSET('Smelter Reference List'!$H$4,$S1072-4,0))</f>
        <v/>
      </c>
      <c r="J1072" s="294" t="str">
        <f ca="1">IF(ISERROR($S1072),"",OFFSET('Smelter Reference List'!$I$4,$S1072-4,0))</f>
        <v/>
      </c>
      <c r="K1072" s="295"/>
      <c r="L1072" s="295"/>
      <c r="M1072" s="295"/>
      <c r="N1072" s="295"/>
      <c r="O1072" s="295"/>
      <c r="P1072" s="295"/>
      <c r="Q1072" s="296"/>
      <c r="R1072" s="227"/>
      <c r="S1072" s="228" t="e">
        <f>IF(C1072="",NA(),MATCH($B1072&amp;$C1072,'Smelter Reference List'!$J:$J,0))</f>
        <v>#N/A</v>
      </c>
      <c r="T1072" s="229"/>
      <c r="U1072" s="229">
        <f t="shared" ca="1" si="34"/>
        <v>0</v>
      </c>
      <c r="V1072" s="229"/>
      <c r="W1072" s="229"/>
      <c r="Y1072" s="223" t="str">
        <f t="shared" si="35"/>
        <v/>
      </c>
    </row>
    <row r="1073" spans="1:25" s="223" customFormat="1" ht="20.25">
      <c r="A1073" s="291"/>
      <c r="B1073" s="292" t="str">
        <f>IF(LEN(A1073)=0,"",INDEX('Smelter Reference List'!$A:$A,MATCH($A1073,'Smelter Reference List'!$E:$E,0)))</f>
        <v/>
      </c>
      <c r="C1073" s="298" t="str">
        <f>IF(LEN(A1073)=0,"",INDEX('Smelter Reference List'!$C:$C,MATCH($A1073,'Smelter Reference List'!$E:$E,0)))</f>
        <v/>
      </c>
      <c r="D1073" s="292" t="str">
        <f ca="1">IF(ISERROR($S1073),"",OFFSET('Smelter Reference List'!$C$4,$S1073-4,0)&amp;"")</f>
        <v/>
      </c>
      <c r="E1073" s="292" t="str">
        <f ca="1">IF(ISERROR($S1073),"",OFFSET('Smelter Reference List'!$D$4,$S1073-4,0)&amp;"")</f>
        <v/>
      </c>
      <c r="F1073" s="292" t="str">
        <f ca="1">IF(ISERROR($S1073),"",OFFSET('Smelter Reference List'!$E$4,$S1073-4,0))</f>
        <v/>
      </c>
      <c r="G1073" s="292" t="str">
        <f ca="1">IF(C1073=$U$4,"Enter smelter details", IF(ISERROR($S1073),"",OFFSET('Smelter Reference List'!$F$4,$S1073-4,0)))</f>
        <v/>
      </c>
      <c r="H1073" s="293" t="str">
        <f ca="1">IF(ISERROR($S1073),"",OFFSET('Smelter Reference List'!$G$4,$S1073-4,0))</f>
        <v/>
      </c>
      <c r="I1073" s="294" t="str">
        <f ca="1">IF(ISERROR($S1073),"",OFFSET('Smelter Reference List'!$H$4,$S1073-4,0))</f>
        <v/>
      </c>
      <c r="J1073" s="294" t="str">
        <f ca="1">IF(ISERROR($S1073),"",OFFSET('Smelter Reference List'!$I$4,$S1073-4,0))</f>
        <v/>
      </c>
      <c r="K1073" s="295"/>
      <c r="L1073" s="295"/>
      <c r="M1073" s="295"/>
      <c r="N1073" s="295"/>
      <c r="O1073" s="295"/>
      <c r="P1073" s="295"/>
      <c r="Q1073" s="296"/>
      <c r="R1073" s="227"/>
      <c r="S1073" s="228" t="e">
        <f>IF(C1073="",NA(),MATCH($B1073&amp;$C1073,'Smelter Reference List'!$J:$J,0))</f>
        <v>#N/A</v>
      </c>
      <c r="T1073" s="229"/>
      <c r="U1073" s="229">
        <f t="shared" ca="1" si="34"/>
        <v>0</v>
      </c>
      <c r="V1073" s="229"/>
      <c r="W1073" s="229"/>
      <c r="Y1073" s="223" t="str">
        <f t="shared" si="35"/>
        <v/>
      </c>
    </row>
    <row r="1074" spans="1:25" s="223" customFormat="1" ht="20.25">
      <c r="A1074" s="291"/>
      <c r="B1074" s="292" t="str">
        <f>IF(LEN(A1074)=0,"",INDEX('Smelter Reference List'!$A:$A,MATCH($A1074,'Smelter Reference List'!$E:$E,0)))</f>
        <v/>
      </c>
      <c r="C1074" s="298" t="str">
        <f>IF(LEN(A1074)=0,"",INDEX('Smelter Reference List'!$C:$C,MATCH($A1074,'Smelter Reference List'!$E:$E,0)))</f>
        <v/>
      </c>
      <c r="D1074" s="292" t="str">
        <f ca="1">IF(ISERROR($S1074),"",OFFSET('Smelter Reference List'!$C$4,$S1074-4,0)&amp;"")</f>
        <v/>
      </c>
      <c r="E1074" s="292" t="str">
        <f ca="1">IF(ISERROR($S1074),"",OFFSET('Smelter Reference List'!$D$4,$S1074-4,0)&amp;"")</f>
        <v/>
      </c>
      <c r="F1074" s="292" t="str">
        <f ca="1">IF(ISERROR($S1074),"",OFFSET('Smelter Reference List'!$E$4,$S1074-4,0))</f>
        <v/>
      </c>
      <c r="G1074" s="292" t="str">
        <f ca="1">IF(C1074=$U$4,"Enter smelter details", IF(ISERROR($S1074),"",OFFSET('Smelter Reference List'!$F$4,$S1074-4,0)))</f>
        <v/>
      </c>
      <c r="H1074" s="293" t="str">
        <f ca="1">IF(ISERROR($S1074),"",OFFSET('Smelter Reference List'!$G$4,$S1074-4,0))</f>
        <v/>
      </c>
      <c r="I1074" s="294" t="str">
        <f ca="1">IF(ISERROR($S1074),"",OFFSET('Smelter Reference List'!$H$4,$S1074-4,0))</f>
        <v/>
      </c>
      <c r="J1074" s="294" t="str">
        <f ca="1">IF(ISERROR($S1074),"",OFFSET('Smelter Reference List'!$I$4,$S1074-4,0))</f>
        <v/>
      </c>
      <c r="K1074" s="295"/>
      <c r="L1074" s="295"/>
      <c r="M1074" s="295"/>
      <c r="N1074" s="295"/>
      <c r="O1074" s="295"/>
      <c r="P1074" s="295"/>
      <c r="Q1074" s="296"/>
      <c r="R1074" s="227"/>
      <c r="S1074" s="228" t="e">
        <f>IF(C1074="",NA(),MATCH($B1074&amp;$C1074,'Smelter Reference List'!$J:$J,0))</f>
        <v>#N/A</v>
      </c>
      <c r="T1074" s="229"/>
      <c r="U1074" s="229">
        <f t="shared" ca="1" si="34"/>
        <v>0</v>
      </c>
      <c r="V1074" s="229"/>
      <c r="W1074" s="229"/>
      <c r="Y1074" s="223" t="str">
        <f t="shared" si="35"/>
        <v/>
      </c>
    </row>
    <row r="1075" spans="1:25" s="223" customFormat="1" ht="20.25">
      <c r="A1075" s="291"/>
      <c r="B1075" s="292" t="str">
        <f>IF(LEN(A1075)=0,"",INDEX('Smelter Reference List'!$A:$A,MATCH($A1075,'Smelter Reference List'!$E:$E,0)))</f>
        <v/>
      </c>
      <c r="C1075" s="298" t="str">
        <f>IF(LEN(A1075)=0,"",INDEX('Smelter Reference List'!$C:$C,MATCH($A1075,'Smelter Reference List'!$E:$E,0)))</f>
        <v/>
      </c>
      <c r="D1075" s="292" t="str">
        <f ca="1">IF(ISERROR($S1075),"",OFFSET('Smelter Reference List'!$C$4,$S1075-4,0)&amp;"")</f>
        <v/>
      </c>
      <c r="E1075" s="292" t="str">
        <f ca="1">IF(ISERROR($S1075),"",OFFSET('Smelter Reference List'!$D$4,$S1075-4,0)&amp;"")</f>
        <v/>
      </c>
      <c r="F1075" s="292" t="str">
        <f ca="1">IF(ISERROR($S1075),"",OFFSET('Smelter Reference List'!$E$4,$S1075-4,0))</f>
        <v/>
      </c>
      <c r="G1075" s="292" t="str">
        <f ca="1">IF(C1075=$U$4,"Enter smelter details", IF(ISERROR($S1075),"",OFFSET('Smelter Reference List'!$F$4,$S1075-4,0)))</f>
        <v/>
      </c>
      <c r="H1075" s="293" t="str">
        <f ca="1">IF(ISERROR($S1075),"",OFFSET('Smelter Reference List'!$G$4,$S1075-4,0))</f>
        <v/>
      </c>
      <c r="I1075" s="294" t="str">
        <f ca="1">IF(ISERROR($S1075),"",OFFSET('Smelter Reference List'!$H$4,$S1075-4,0))</f>
        <v/>
      </c>
      <c r="J1075" s="294" t="str">
        <f ca="1">IF(ISERROR($S1075),"",OFFSET('Smelter Reference List'!$I$4,$S1075-4,0))</f>
        <v/>
      </c>
      <c r="K1075" s="295"/>
      <c r="L1075" s="295"/>
      <c r="M1075" s="295"/>
      <c r="N1075" s="295"/>
      <c r="O1075" s="295"/>
      <c r="P1075" s="295"/>
      <c r="Q1075" s="296"/>
      <c r="R1075" s="227"/>
      <c r="S1075" s="228" t="e">
        <f>IF(C1075="",NA(),MATCH($B1075&amp;$C1075,'Smelter Reference List'!$J:$J,0))</f>
        <v>#N/A</v>
      </c>
      <c r="T1075" s="229"/>
      <c r="U1075" s="229">
        <f t="shared" ca="1" si="34"/>
        <v>0</v>
      </c>
      <c r="V1075" s="229"/>
      <c r="W1075" s="229"/>
      <c r="Y1075" s="223" t="str">
        <f t="shared" si="35"/>
        <v/>
      </c>
    </row>
    <row r="1076" spans="1:25" s="223" customFormat="1" ht="20.25">
      <c r="A1076" s="291"/>
      <c r="B1076" s="292" t="str">
        <f>IF(LEN(A1076)=0,"",INDEX('Smelter Reference List'!$A:$A,MATCH($A1076,'Smelter Reference List'!$E:$E,0)))</f>
        <v/>
      </c>
      <c r="C1076" s="298" t="str">
        <f>IF(LEN(A1076)=0,"",INDEX('Smelter Reference List'!$C:$C,MATCH($A1076,'Smelter Reference List'!$E:$E,0)))</f>
        <v/>
      </c>
      <c r="D1076" s="292" t="str">
        <f ca="1">IF(ISERROR($S1076),"",OFFSET('Smelter Reference List'!$C$4,$S1076-4,0)&amp;"")</f>
        <v/>
      </c>
      <c r="E1076" s="292" t="str">
        <f ca="1">IF(ISERROR($S1076),"",OFFSET('Smelter Reference List'!$D$4,$S1076-4,0)&amp;"")</f>
        <v/>
      </c>
      <c r="F1076" s="292" t="str">
        <f ca="1">IF(ISERROR($S1076),"",OFFSET('Smelter Reference List'!$E$4,$S1076-4,0))</f>
        <v/>
      </c>
      <c r="G1076" s="292" t="str">
        <f ca="1">IF(C1076=$U$4,"Enter smelter details", IF(ISERROR($S1076),"",OFFSET('Smelter Reference List'!$F$4,$S1076-4,0)))</f>
        <v/>
      </c>
      <c r="H1076" s="293" t="str">
        <f ca="1">IF(ISERROR($S1076),"",OFFSET('Smelter Reference List'!$G$4,$S1076-4,0))</f>
        <v/>
      </c>
      <c r="I1076" s="294" t="str">
        <f ca="1">IF(ISERROR($S1076),"",OFFSET('Smelter Reference List'!$H$4,$S1076-4,0))</f>
        <v/>
      </c>
      <c r="J1076" s="294" t="str">
        <f ca="1">IF(ISERROR($S1076),"",OFFSET('Smelter Reference List'!$I$4,$S1076-4,0))</f>
        <v/>
      </c>
      <c r="K1076" s="295"/>
      <c r="L1076" s="295"/>
      <c r="M1076" s="295"/>
      <c r="N1076" s="295"/>
      <c r="O1076" s="295"/>
      <c r="P1076" s="295"/>
      <c r="Q1076" s="296"/>
      <c r="R1076" s="227"/>
      <c r="S1076" s="228" t="e">
        <f>IF(C1076="",NA(),MATCH($B1076&amp;$C1076,'Smelter Reference List'!$J:$J,0))</f>
        <v>#N/A</v>
      </c>
      <c r="T1076" s="229"/>
      <c r="U1076" s="229">
        <f t="shared" ca="1" si="34"/>
        <v>0</v>
      </c>
      <c r="V1076" s="229"/>
      <c r="W1076" s="229"/>
      <c r="Y1076" s="223" t="str">
        <f t="shared" si="35"/>
        <v/>
      </c>
    </row>
    <row r="1077" spans="1:25" s="223" customFormat="1" ht="20.25">
      <c r="A1077" s="291"/>
      <c r="B1077" s="292" t="str">
        <f>IF(LEN(A1077)=0,"",INDEX('Smelter Reference List'!$A:$A,MATCH($A1077,'Smelter Reference List'!$E:$E,0)))</f>
        <v/>
      </c>
      <c r="C1077" s="298" t="str">
        <f>IF(LEN(A1077)=0,"",INDEX('Smelter Reference List'!$C:$C,MATCH($A1077,'Smelter Reference List'!$E:$E,0)))</f>
        <v/>
      </c>
      <c r="D1077" s="292" t="str">
        <f ca="1">IF(ISERROR($S1077),"",OFFSET('Smelter Reference List'!$C$4,$S1077-4,0)&amp;"")</f>
        <v/>
      </c>
      <c r="E1077" s="292" t="str">
        <f ca="1">IF(ISERROR($S1077),"",OFFSET('Smelter Reference List'!$D$4,$S1077-4,0)&amp;"")</f>
        <v/>
      </c>
      <c r="F1077" s="292" t="str">
        <f ca="1">IF(ISERROR($S1077),"",OFFSET('Smelter Reference List'!$E$4,$S1077-4,0))</f>
        <v/>
      </c>
      <c r="G1077" s="292" t="str">
        <f ca="1">IF(C1077=$U$4,"Enter smelter details", IF(ISERROR($S1077),"",OFFSET('Smelter Reference List'!$F$4,$S1077-4,0)))</f>
        <v/>
      </c>
      <c r="H1077" s="293" t="str">
        <f ca="1">IF(ISERROR($S1077),"",OFFSET('Smelter Reference List'!$G$4,$S1077-4,0))</f>
        <v/>
      </c>
      <c r="I1077" s="294" t="str">
        <f ca="1">IF(ISERROR($S1077),"",OFFSET('Smelter Reference List'!$H$4,$S1077-4,0))</f>
        <v/>
      </c>
      <c r="J1077" s="294" t="str">
        <f ca="1">IF(ISERROR($S1077),"",OFFSET('Smelter Reference List'!$I$4,$S1077-4,0))</f>
        <v/>
      </c>
      <c r="K1077" s="295"/>
      <c r="L1077" s="295"/>
      <c r="M1077" s="295"/>
      <c r="N1077" s="295"/>
      <c r="O1077" s="295"/>
      <c r="P1077" s="295"/>
      <c r="Q1077" s="296"/>
      <c r="R1077" s="227"/>
      <c r="S1077" s="228" t="e">
        <f>IF(C1077="",NA(),MATCH($B1077&amp;$C1077,'Smelter Reference List'!$J:$J,0))</f>
        <v>#N/A</v>
      </c>
      <c r="T1077" s="229"/>
      <c r="U1077" s="229">
        <f t="shared" ca="1" si="34"/>
        <v>0</v>
      </c>
      <c r="V1077" s="229"/>
      <c r="W1077" s="229"/>
      <c r="Y1077" s="223" t="str">
        <f t="shared" si="35"/>
        <v/>
      </c>
    </row>
    <row r="1078" spans="1:25" s="223" customFormat="1" ht="20.25">
      <c r="A1078" s="291"/>
      <c r="B1078" s="292" t="str">
        <f>IF(LEN(A1078)=0,"",INDEX('Smelter Reference List'!$A:$A,MATCH($A1078,'Smelter Reference List'!$E:$E,0)))</f>
        <v/>
      </c>
      <c r="C1078" s="298" t="str">
        <f>IF(LEN(A1078)=0,"",INDEX('Smelter Reference List'!$C:$C,MATCH($A1078,'Smelter Reference List'!$E:$E,0)))</f>
        <v/>
      </c>
      <c r="D1078" s="292" t="str">
        <f ca="1">IF(ISERROR($S1078),"",OFFSET('Smelter Reference List'!$C$4,$S1078-4,0)&amp;"")</f>
        <v/>
      </c>
      <c r="E1078" s="292" t="str">
        <f ca="1">IF(ISERROR($S1078),"",OFFSET('Smelter Reference List'!$D$4,$S1078-4,0)&amp;"")</f>
        <v/>
      </c>
      <c r="F1078" s="292" t="str">
        <f ca="1">IF(ISERROR($S1078),"",OFFSET('Smelter Reference List'!$E$4,$S1078-4,0))</f>
        <v/>
      </c>
      <c r="G1078" s="292" t="str">
        <f ca="1">IF(C1078=$U$4,"Enter smelter details", IF(ISERROR($S1078),"",OFFSET('Smelter Reference List'!$F$4,$S1078-4,0)))</f>
        <v/>
      </c>
      <c r="H1078" s="293" t="str">
        <f ca="1">IF(ISERROR($S1078),"",OFFSET('Smelter Reference List'!$G$4,$S1078-4,0))</f>
        <v/>
      </c>
      <c r="I1078" s="294" t="str">
        <f ca="1">IF(ISERROR($S1078),"",OFFSET('Smelter Reference List'!$H$4,$S1078-4,0))</f>
        <v/>
      </c>
      <c r="J1078" s="294" t="str">
        <f ca="1">IF(ISERROR($S1078),"",OFFSET('Smelter Reference List'!$I$4,$S1078-4,0))</f>
        <v/>
      </c>
      <c r="K1078" s="295"/>
      <c r="L1078" s="295"/>
      <c r="M1078" s="295"/>
      <c r="N1078" s="295"/>
      <c r="O1078" s="295"/>
      <c r="P1078" s="295"/>
      <c r="Q1078" s="296"/>
      <c r="R1078" s="227"/>
      <c r="S1078" s="228" t="e">
        <f>IF(C1078="",NA(),MATCH($B1078&amp;$C1078,'Smelter Reference List'!$J:$J,0))</f>
        <v>#N/A</v>
      </c>
      <c r="T1078" s="229"/>
      <c r="U1078" s="229">
        <f t="shared" ca="1" si="34"/>
        <v>0</v>
      </c>
      <c r="V1078" s="229"/>
      <c r="W1078" s="229"/>
      <c r="Y1078" s="223" t="str">
        <f t="shared" si="35"/>
        <v/>
      </c>
    </row>
    <row r="1079" spans="1:25" s="223" customFormat="1" ht="20.25">
      <c r="A1079" s="291"/>
      <c r="B1079" s="292" t="str">
        <f>IF(LEN(A1079)=0,"",INDEX('Smelter Reference List'!$A:$A,MATCH($A1079,'Smelter Reference List'!$E:$E,0)))</f>
        <v/>
      </c>
      <c r="C1079" s="298" t="str">
        <f>IF(LEN(A1079)=0,"",INDEX('Smelter Reference List'!$C:$C,MATCH($A1079,'Smelter Reference List'!$E:$E,0)))</f>
        <v/>
      </c>
      <c r="D1079" s="292" t="str">
        <f ca="1">IF(ISERROR($S1079),"",OFFSET('Smelter Reference List'!$C$4,$S1079-4,0)&amp;"")</f>
        <v/>
      </c>
      <c r="E1079" s="292" t="str">
        <f ca="1">IF(ISERROR($S1079),"",OFFSET('Smelter Reference List'!$D$4,$S1079-4,0)&amp;"")</f>
        <v/>
      </c>
      <c r="F1079" s="292" t="str">
        <f ca="1">IF(ISERROR($S1079),"",OFFSET('Smelter Reference List'!$E$4,$S1079-4,0))</f>
        <v/>
      </c>
      <c r="G1079" s="292" t="str">
        <f ca="1">IF(C1079=$U$4,"Enter smelter details", IF(ISERROR($S1079),"",OFFSET('Smelter Reference List'!$F$4,$S1079-4,0)))</f>
        <v/>
      </c>
      <c r="H1079" s="293" t="str">
        <f ca="1">IF(ISERROR($S1079),"",OFFSET('Smelter Reference List'!$G$4,$S1079-4,0))</f>
        <v/>
      </c>
      <c r="I1079" s="294" t="str">
        <f ca="1">IF(ISERROR($S1079),"",OFFSET('Smelter Reference List'!$H$4,$S1079-4,0))</f>
        <v/>
      </c>
      <c r="J1079" s="294" t="str">
        <f ca="1">IF(ISERROR($S1079),"",OFFSET('Smelter Reference List'!$I$4,$S1079-4,0))</f>
        <v/>
      </c>
      <c r="K1079" s="295"/>
      <c r="L1079" s="295"/>
      <c r="M1079" s="295"/>
      <c r="N1079" s="295"/>
      <c r="O1079" s="295"/>
      <c r="P1079" s="295"/>
      <c r="Q1079" s="296"/>
      <c r="R1079" s="227"/>
      <c r="S1079" s="228" t="e">
        <f>IF(C1079="",NA(),MATCH($B1079&amp;$C1079,'Smelter Reference List'!$J:$J,0))</f>
        <v>#N/A</v>
      </c>
      <c r="T1079" s="229"/>
      <c r="U1079" s="229">
        <f t="shared" ca="1" si="34"/>
        <v>0</v>
      </c>
      <c r="V1079" s="229"/>
      <c r="W1079" s="229"/>
      <c r="Y1079" s="223" t="str">
        <f t="shared" si="35"/>
        <v/>
      </c>
    </row>
    <row r="1080" spans="1:25" s="223" customFormat="1" ht="20.25">
      <c r="A1080" s="291"/>
      <c r="B1080" s="292" t="str">
        <f>IF(LEN(A1080)=0,"",INDEX('Smelter Reference List'!$A:$A,MATCH($A1080,'Smelter Reference List'!$E:$E,0)))</f>
        <v/>
      </c>
      <c r="C1080" s="298" t="str">
        <f>IF(LEN(A1080)=0,"",INDEX('Smelter Reference List'!$C:$C,MATCH($A1080,'Smelter Reference List'!$E:$E,0)))</f>
        <v/>
      </c>
      <c r="D1080" s="292" t="str">
        <f ca="1">IF(ISERROR($S1080),"",OFFSET('Smelter Reference List'!$C$4,$S1080-4,0)&amp;"")</f>
        <v/>
      </c>
      <c r="E1080" s="292" t="str">
        <f ca="1">IF(ISERROR($S1080),"",OFFSET('Smelter Reference List'!$D$4,$S1080-4,0)&amp;"")</f>
        <v/>
      </c>
      <c r="F1080" s="292" t="str">
        <f ca="1">IF(ISERROR($S1080),"",OFFSET('Smelter Reference List'!$E$4,$S1080-4,0))</f>
        <v/>
      </c>
      <c r="G1080" s="292" t="str">
        <f ca="1">IF(C1080=$U$4,"Enter smelter details", IF(ISERROR($S1080),"",OFFSET('Smelter Reference List'!$F$4,$S1080-4,0)))</f>
        <v/>
      </c>
      <c r="H1080" s="293" t="str">
        <f ca="1">IF(ISERROR($S1080),"",OFFSET('Smelter Reference List'!$G$4,$S1080-4,0))</f>
        <v/>
      </c>
      <c r="I1080" s="294" t="str">
        <f ca="1">IF(ISERROR($S1080),"",OFFSET('Smelter Reference List'!$H$4,$S1080-4,0))</f>
        <v/>
      </c>
      <c r="J1080" s="294" t="str">
        <f ca="1">IF(ISERROR($S1080),"",OFFSET('Smelter Reference List'!$I$4,$S1080-4,0))</f>
        <v/>
      </c>
      <c r="K1080" s="295"/>
      <c r="L1080" s="295"/>
      <c r="M1080" s="295"/>
      <c r="N1080" s="295"/>
      <c r="O1080" s="295"/>
      <c r="P1080" s="295"/>
      <c r="Q1080" s="296"/>
      <c r="R1080" s="227"/>
      <c r="S1080" s="228" t="e">
        <f>IF(C1080="",NA(),MATCH($B1080&amp;$C1080,'Smelter Reference List'!$J:$J,0))</f>
        <v>#N/A</v>
      </c>
      <c r="T1080" s="229"/>
      <c r="U1080" s="229">
        <f t="shared" ca="1" si="34"/>
        <v>0</v>
      </c>
      <c r="V1080" s="229"/>
      <c r="W1080" s="229"/>
      <c r="Y1080" s="223" t="str">
        <f t="shared" si="35"/>
        <v/>
      </c>
    </row>
    <row r="1081" spans="1:25" s="223" customFormat="1" ht="20.25">
      <c r="A1081" s="291"/>
      <c r="B1081" s="292" t="str">
        <f>IF(LEN(A1081)=0,"",INDEX('Smelter Reference List'!$A:$A,MATCH($A1081,'Smelter Reference List'!$E:$E,0)))</f>
        <v/>
      </c>
      <c r="C1081" s="298" t="str">
        <f>IF(LEN(A1081)=0,"",INDEX('Smelter Reference List'!$C:$C,MATCH($A1081,'Smelter Reference List'!$E:$E,0)))</f>
        <v/>
      </c>
      <c r="D1081" s="292" t="str">
        <f ca="1">IF(ISERROR($S1081),"",OFFSET('Smelter Reference List'!$C$4,$S1081-4,0)&amp;"")</f>
        <v/>
      </c>
      <c r="E1081" s="292" t="str">
        <f ca="1">IF(ISERROR($S1081),"",OFFSET('Smelter Reference List'!$D$4,$S1081-4,0)&amp;"")</f>
        <v/>
      </c>
      <c r="F1081" s="292" t="str">
        <f ca="1">IF(ISERROR($S1081),"",OFFSET('Smelter Reference List'!$E$4,$S1081-4,0))</f>
        <v/>
      </c>
      <c r="G1081" s="292" t="str">
        <f ca="1">IF(C1081=$U$4,"Enter smelter details", IF(ISERROR($S1081),"",OFFSET('Smelter Reference List'!$F$4,$S1081-4,0)))</f>
        <v/>
      </c>
      <c r="H1081" s="293" t="str">
        <f ca="1">IF(ISERROR($S1081),"",OFFSET('Smelter Reference List'!$G$4,$S1081-4,0))</f>
        <v/>
      </c>
      <c r="I1081" s="294" t="str">
        <f ca="1">IF(ISERROR($S1081),"",OFFSET('Smelter Reference List'!$H$4,$S1081-4,0))</f>
        <v/>
      </c>
      <c r="J1081" s="294" t="str">
        <f ca="1">IF(ISERROR($S1081),"",OFFSET('Smelter Reference List'!$I$4,$S1081-4,0))</f>
        <v/>
      </c>
      <c r="K1081" s="295"/>
      <c r="L1081" s="295"/>
      <c r="M1081" s="295"/>
      <c r="N1081" s="295"/>
      <c r="O1081" s="295"/>
      <c r="P1081" s="295"/>
      <c r="Q1081" s="296"/>
      <c r="R1081" s="227"/>
      <c r="S1081" s="228" t="e">
        <f>IF(C1081="",NA(),MATCH($B1081&amp;$C1081,'Smelter Reference List'!$J:$J,0))</f>
        <v>#N/A</v>
      </c>
      <c r="T1081" s="229"/>
      <c r="U1081" s="229">
        <f t="shared" ca="1" si="34"/>
        <v>0</v>
      </c>
      <c r="V1081" s="229"/>
      <c r="W1081" s="229"/>
      <c r="Y1081" s="223" t="str">
        <f t="shared" si="35"/>
        <v/>
      </c>
    </row>
    <row r="1082" spans="1:25" s="223" customFormat="1" ht="20.25">
      <c r="A1082" s="291"/>
      <c r="B1082" s="292" t="str">
        <f>IF(LEN(A1082)=0,"",INDEX('Smelter Reference List'!$A:$A,MATCH($A1082,'Smelter Reference List'!$E:$E,0)))</f>
        <v/>
      </c>
      <c r="C1082" s="298" t="str">
        <f>IF(LEN(A1082)=0,"",INDEX('Smelter Reference List'!$C:$C,MATCH($A1082,'Smelter Reference List'!$E:$E,0)))</f>
        <v/>
      </c>
      <c r="D1082" s="292" t="str">
        <f ca="1">IF(ISERROR($S1082),"",OFFSET('Smelter Reference List'!$C$4,$S1082-4,0)&amp;"")</f>
        <v/>
      </c>
      <c r="E1082" s="292" t="str">
        <f ca="1">IF(ISERROR($S1082),"",OFFSET('Smelter Reference List'!$D$4,$S1082-4,0)&amp;"")</f>
        <v/>
      </c>
      <c r="F1082" s="292" t="str">
        <f ca="1">IF(ISERROR($S1082),"",OFFSET('Smelter Reference List'!$E$4,$S1082-4,0))</f>
        <v/>
      </c>
      <c r="G1082" s="292" t="str">
        <f ca="1">IF(C1082=$U$4,"Enter smelter details", IF(ISERROR($S1082),"",OFFSET('Smelter Reference List'!$F$4,$S1082-4,0)))</f>
        <v/>
      </c>
      <c r="H1082" s="293" t="str">
        <f ca="1">IF(ISERROR($S1082),"",OFFSET('Smelter Reference List'!$G$4,$S1082-4,0))</f>
        <v/>
      </c>
      <c r="I1082" s="294" t="str">
        <f ca="1">IF(ISERROR($S1082),"",OFFSET('Smelter Reference List'!$H$4,$S1082-4,0))</f>
        <v/>
      </c>
      <c r="J1082" s="294" t="str">
        <f ca="1">IF(ISERROR($S1082),"",OFFSET('Smelter Reference List'!$I$4,$S1082-4,0))</f>
        <v/>
      </c>
      <c r="K1082" s="295"/>
      <c r="L1082" s="295"/>
      <c r="M1082" s="295"/>
      <c r="N1082" s="295"/>
      <c r="O1082" s="295"/>
      <c r="P1082" s="295"/>
      <c r="Q1082" s="296"/>
      <c r="R1082" s="227"/>
      <c r="S1082" s="228" t="e">
        <f>IF(C1082="",NA(),MATCH($B1082&amp;$C1082,'Smelter Reference List'!$J:$J,0))</f>
        <v>#N/A</v>
      </c>
      <c r="T1082" s="229"/>
      <c r="U1082" s="229">
        <f t="shared" ca="1" si="34"/>
        <v>0</v>
      </c>
      <c r="V1082" s="229"/>
      <c r="W1082" s="229"/>
      <c r="Y1082" s="223" t="str">
        <f t="shared" si="35"/>
        <v/>
      </c>
    </row>
    <row r="1083" spans="1:25" s="223" customFormat="1" ht="20.25">
      <c r="A1083" s="291"/>
      <c r="B1083" s="292" t="str">
        <f>IF(LEN(A1083)=0,"",INDEX('Smelter Reference List'!$A:$A,MATCH($A1083,'Smelter Reference List'!$E:$E,0)))</f>
        <v/>
      </c>
      <c r="C1083" s="298" t="str">
        <f>IF(LEN(A1083)=0,"",INDEX('Smelter Reference List'!$C:$C,MATCH($A1083,'Smelter Reference List'!$E:$E,0)))</f>
        <v/>
      </c>
      <c r="D1083" s="292" t="str">
        <f ca="1">IF(ISERROR($S1083),"",OFFSET('Smelter Reference List'!$C$4,$S1083-4,0)&amp;"")</f>
        <v/>
      </c>
      <c r="E1083" s="292" t="str">
        <f ca="1">IF(ISERROR($S1083),"",OFFSET('Smelter Reference List'!$D$4,$S1083-4,0)&amp;"")</f>
        <v/>
      </c>
      <c r="F1083" s="292" t="str">
        <f ca="1">IF(ISERROR($S1083),"",OFFSET('Smelter Reference List'!$E$4,$S1083-4,0))</f>
        <v/>
      </c>
      <c r="G1083" s="292" t="str">
        <f ca="1">IF(C1083=$U$4,"Enter smelter details", IF(ISERROR($S1083),"",OFFSET('Smelter Reference List'!$F$4,$S1083-4,0)))</f>
        <v/>
      </c>
      <c r="H1083" s="293" t="str">
        <f ca="1">IF(ISERROR($S1083),"",OFFSET('Smelter Reference List'!$G$4,$S1083-4,0))</f>
        <v/>
      </c>
      <c r="I1083" s="294" t="str">
        <f ca="1">IF(ISERROR($S1083),"",OFFSET('Smelter Reference List'!$H$4,$S1083-4,0))</f>
        <v/>
      </c>
      <c r="J1083" s="294" t="str">
        <f ca="1">IF(ISERROR($S1083),"",OFFSET('Smelter Reference List'!$I$4,$S1083-4,0))</f>
        <v/>
      </c>
      <c r="K1083" s="295"/>
      <c r="L1083" s="295"/>
      <c r="M1083" s="295"/>
      <c r="N1083" s="295"/>
      <c r="O1083" s="295"/>
      <c r="P1083" s="295"/>
      <c r="Q1083" s="296"/>
      <c r="R1083" s="227"/>
      <c r="S1083" s="228" t="e">
        <f>IF(C1083="",NA(),MATCH($B1083&amp;$C1083,'Smelter Reference List'!$J:$J,0))</f>
        <v>#N/A</v>
      </c>
      <c r="T1083" s="229"/>
      <c r="U1083" s="229">
        <f t="shared" ca="1" si="34"/>
        <v>0</v>
      </c>
      <c r="V1083" s="229"/>
      <c r="W1083" s="229"/>
      <c r="Y1083" s="223" t="str">
        <f t="shared" si="35"/>
        <v/>
      </c>
    </row>
    <row r="1084" spans="1:25" s="223" customFormat="1" ht="20.25">
      <c r="A1084" s="291"/>
      <c r="B1084" s="292" t="str">
        <f>IF(LEN(A1084)=0,"",INDEX('Smelter Reference List'!$A:$A,MATCH($A1084,'Smelter Reference List'!$E:$E,0)))</f>
        <v/>
      </c>
      <c r="C1084" s="298" t="str">
        <f>IF(LEN(A1084)=0,"",INDEX('Smelter Reference List'!$C:$C,MATCH($A1084,'Smelter Reference List'!$E:$E,0)))</f>
        <v/>
      </c>
      <c r="D1084" s="292" t="str">
        <f ca="1">IF(ISERROR($S1084),"",OFFSET('Smelter Reference List'!$C$4,$S1084-4,0)&amp;"")</f>
        <v/>
      </c>
      <c r="E1084" s="292" t="str">
        <f ca="1">IF(ISERROR($S1084),"",OFFSET('Smelter Reference List'!$D$4,$S1084-4,0)&amp;"")</f>
        <v/>
      </c>
      <c r="F1084" s="292" t="str">
        <f ca="1">IF(ISERROR($S1084),"",OFFSET('Smelter Reference List'!$E$4,$S1084-4,0))</f>
        <v/>
      </c>
      <c r="G1084" s="292" t="str">
        <f ca="1">IF(C1084=$U$4,"Enter smelter details", IF(ISERROR($S1084),"",OFFSET('Smelter Reference List'!$F$4,$S1084-4,0)))</f>
        <v/>
      </c>
      <c r="H1084" s="293" t="str">
        <f ca="1">IF(ISERROR($S1084),"",OFFSET('Smelter Reference List'!$G$4,$S1084-4,0))</f>
        <v/>
      </c>
      <c r="I1084" s="294" t="str">
        <f ca="1">IF(ISERROR($S1084),"",OFFSET('Smelter Reference List'!$H$4,$S1084-4,0))</f>
        <v/>
      </c>
      <c r="J1084" s="294" t="str">
        <f ca="1">IF(ISERROR($S1084),"",OFFSET('Smelter Reference List'!$I$4,$S1084-4,0))</f>
        <v/>
      </c>
      <c r="K1084" s="295"/>
      <c r="L1084" s="295"/>
      <c r="M1084" s="295"/>
      <c r="N1084" s="295"/>
      <c r="O1084" s="295"/>
      <c r="P1084" s="295"/>
      <c r="Q1084" s="296"/>
      <c r="R1084" s="227"/>
      <c r="S1084" s="228" t="e">
        <f>IF(C1084="",NA(),MATCH($B1084&amp;$C1084,'Smelter Reference List'!$J:$J,0))</f>
        <v>#N/A</v>
      </c>
      <c r="T1084" s="229"/>
      <c r="U1084" s="229">
        <f t="shared" ca="1" si="34"/>
        <v>0</v>
      </c>
      <c r="V1084" s="229"/>
      <c r="W1084" s="229"/>
      <c r="Y1084" s="223" t="str">
        <f t="shared" si="35"/>
        <v/>
      </c>
    </row>
    <row r="1085" spans="1:25" s="223" customFormat="1" ht="20.25">
      <c r="A1085" s="291"/>
      <c r="B1085" s="292" t="str">
        <f>IF(LEN(A1085)=0,"",INDEX('Smelter Reference List'!$A:$A,MATCH($A1085,'Smelter Reference List'!$E:$E,0)))</f>
        <v/>
      </c>
      <c r="C1085" s="298" t="str">
        <f>IF(LEN(A1085)=0,"",INDEX('Smelter Reference List'!$C:$C,MATCH($A1085,'Smelter Reference List'!$E:$E,0)))</f>
        <v/>
      </c>
      <c r="D1085" s="292" t="str">
        <f ca="1">IF(ISERROR($S1085),"",OFFSET('Smelter Reference List'!$C$4,$S1085-4,0)&amp;"")</f>
        <v/>
      </c>
      <c r="E1085" s="292" t="str">
        <f ca="1">IF(ISERROR($S1085),"",OFFSET('Smelter Reference List'!$D$4,$S1085-4,0)&amp;"")</f>
        <v/>
      </c>
      <c r="F1085" s="292" t="str">
        <f ca="1">IF(ISERROR($S1085),"",OFFSET('Smelter Reference List'!$E$4,$S1085-4,0))</f>
        <v/>
      </c>
      <c r="G1085" s="292" t="str">
        <f ca="1">IF(C1085=$U$4,"Enter smelter details", IF(ISERROR($S1085),"",OFFSET('Smelter Reference List'!$F$4,$S1085-4,0)))</f>
        <v/>
      </c>
      <c r="H1085" s="293" t="str">
        <f ca="1">IF(ISERROR($S1085),"",OFFSET('Smelter Reference List'!$G$4,$S1085-4,0))</f>
        <v/>
      </c>
      <c r="I1085" s="294" t="str">
        <f ca="1">IF(ISERROR($S1085),"",OFFSET('Smelter Reference List'!$H$4,$S1085-4,0))</f>
        <v/>
      </c>
      <c r="J1085" s="294" t="str">
        <f ca="1">IF(ISERROR($S1085),"",OFFSET('Smelter Reference List'!$I$4,$S1085-4,0))</f>
        <v/>
      </c>
      <c r="K1085" s="295"/>
      <c r="L1085" s="295"/>
      <c r="M1085" s="295"/>
      <c r="N1085" s="295"/>
      <c r="O1085" s="295"/>
      <c r="P1085" s="295"/>
      <c r="Q1085" s="296"/>
      <c r="R1085" s="227"/>
      <c r="S1085" s="228" t="e">
        <f>IF(C1085="",NA(),MATCH($B1085&amp;$C1085,'Smelter Reference List'!$J:$J,0))</f>
        <v>#N/A</v>
      </c>
      <c r="T1085" s="229"/>
      <c r="U1085" s="229">
        <f t="shared" ca="1" si="34"/>
        <v>0</v>
      </c>
      <c r="V1085" s="229"/>
      <c r="W1085" s="229"/>
      <c r="Y1085" s="223" t="str">
        <f t="shared" si="35"/>
        <v/>
      </c>
    </row>
    <row r="1086" spans="1:25" s="223" customFormat="1" ht="20.25">
      <c r="A1086" s="291"/>
      <c r="B1086" s="292" t="str">
        <f>IF(LEN(A1086)=0,"",INDEX('Smelter Reference List'!$A:$A,MATCH($A1086,'Smelter Reference List'!$E:$E,0)))</f>
        <v/>
      </c>
      <c r="C1086" s="298" t="str">
        <f>IF(LEN(A1086)=0,"",INDEX('Smelter Reference List'!$C:$C,MATCH($A1086,'Smelter Reference List'!$E:$E,0)))</f>
        <v/>
      </c>
      <c r="D1086" s="292" t="str">
        <f ca="1">IF(ISERROR($S1086),"",OFFSET('Smelter Reference List'!$C$4,$S1086-4,0)&amp;"")</f>
        <v/>
      </c>
      <c r="E1086" s="292" t="str">
        <f ca="1">IF(ISERROR($S1086),"",OFFSET('Smelter Reference List'!$D$4,$S1086-4,0)&amp;"")</f>
        <v/>
      </c>
      <c r="F1086" s="292" t="str">
        <f ca="1">IF(ISERROR($S1086),"",OFFSET('Smelter Reference List'!$E$4,$S1086-4,0))</f>
        <v/>
      </c>
      <c r="G1086" s="292" t="str">
        <f ca="1">IF(C1086=$U$4,"Enter smelter details", IF(ISERROR($S1086),"",OFFSET('Smelter Reference List'!$F$4,$S1086-4,0)))</f>
        <v/>
      </c>
      <c r="H1086" s="293" t="str">
        <f ca="1">IF(ISERROR($S1086),"",OFFSET('Smelter Reference List'!$G$4,$S1086-4,0))</f>
        <v/>
      </c>
      <c r="I1086" s="294" t="str">
        <f ca="1">IF(ISERROR($S1086),"",OFFSET('Smelter Reference List'!$H$4,$S1086-4,0))</f>
        <v/>
      </c>
      <c r="J1086" s="294" t="str">
        <f ca="1">IF(ISERROR($S1086),"",OFFSET('Smelter Reference List'!$I$4,$S1086-4,0))</f>
        <v/>
      </c>
      <c r="K1086" s="295"/>
      <c r="L1086" s="295"/>
      <c r="M1086" s="295"/>
      <c r="N1086" s="295"/>
      <c r="O1086" s="295"/>
      <c r="P1086" s="295"/>
      <c r="Q1086" s="296"/>
      <c r="R1086" s="227"/>
      <c r="S1086" s="228" t="e">
        <f>IF(C1086="",NA(),MATCH($B1086&amp;$C1086,'Smelter Reference List'!$J:$J,0))</f>
        <v>#N/A</v>
      </c>
      <c r="T1086" s="229"/>
      <c r="U1086" s="229">
        <f t="shared" ca="1" si="34"/>
        <v>0</v>
      </c>
      <c r="V1086" s="229"/>
      <c r="W1086" s="229"/>
      <c r="Y1086" s="223" t="str">
        <f t="shared" si="35"/>
        <v/>
      </c>
    </row>
    <row r="1087" spans="1:25" s="223" customFormat="1" ht="20.25">
      <c r="A1087" s="291"/>
      <c r="B1087" s="292" t="str">
        <f>IF(LEN(A1087)=0,"",INDEX('Smelter Reference List'!$A:$A,MATCH($A1087,'Smelter Reference List'!$E:$E,0)))</f>
        <v/>
      </c>
      <c r="C1087" s="298" t="str">
        <f>IF(LEN(A1087)=0,"",INDEX('Smelter Reference List'!$C:$C,MATCH($A1087,'Smelter Reference List'!$E:$E,0)))</f>
        <v/>
      </c>
      <c r="D1087" s="292" t="str">
        <f ca="1">IF(ISERROR($S1087),"",OFFSET('Smelter Reference List'!$C$4,$S1087-4,0)&amp;"")</f>
        <v/>
      </c>
      <c r="E1087" s="292" t="str">
        <f ca="1">IF(ISERROR($S1087),"",OFFSET('Smelter Reference List'!$D$4,$S1087-4,0)&amp;"")</f>
        <v/>
      </c>
      <c r="F1087" s="292" t="str">
        <f ca="1">IF(ISERROR($S1087),"",OFFSET('Smelter Reference List'!$E$4,$S1087-4,0))</f>
        <v/>
      </c>
      <c r="G1087" s="292" t="str">
        <f ca="1">IF(C1087=$U$4,"Enter smelter details", IF(ISERROR($S1087),"",OFFSET('Smelter Reference List'!$F$4,$S1087-4,0)))</f>
        <v/>
      </c>
      <c r="H1087" s="293" t="str">
        <f ca="1">IF(ISERROR($S1087),"",OFFSET('Smelter Reference List'!$G$4,$S1087-4,0))</f>
        <v/>
      </c>
      <c r="I1087" s="294" t="str">
        <f ca="1">IF(ISERROR($S1087),"",OFFSET('Smelter Reference List'!$H$4,$S1087-4,0))</f>
        <v/>
      </c>
      <c r="J1087" s="294" t="str">
        <f ca="1">IF(ISERROR($S1087),"",OFFSET('Smelter Reference List'!$I$4,$S1087-4,0))</f>
        <v/>
      </c>
      <c r="K1087" s="295"/>
      <c r="L1087" s="295"/>
      <c r="M1087" s="295"/>
      <c r="N1087" s="295"/>
      <c r="O1087" s="295"/>
      <c r="P1087" s="295"/>
      <c r="Q1087" s="296"/>
      <c r="R1087" s="227"/>
      <c r="S1087" s="228" t="e">
        <f>IF(C1087="",NA(),MATCH($B1087&amp;$C1087,'Smelter Reference List'!$J:$J,0))</f>
        <v>#N/A</v>
      </c>
      <c r="T1087" s="229"/>
      <c r="U1087" s="229">
        <f t="shared" ca="1" si="34"/>
        <v>0</v>
      </c>
      <c r="V1087" s="229"/>
      <c r="W1087" s="229"/>
      <c r="Y1087" s="223" t="str">
        <f t="shared" si="35"/>
        <v/>
      </c>
    </row>
    <row r="1088" spans="1:25" s="223" customFormat="1" ht="20.25">
      <c r="A1088" s="291"/>
      <c r="B1088" s="292" t="str">
        <f>IF(LEN(A1088)=0,"",INDEX('Smelter Reference List'!$A:$A,MATCH($A1088,'Smelter Reference List'!$E:$E,0)))</f>
        <v/>
      </c>
      <c r="C1088" s="298" t="str">
        <f>IF(LEN(A1088)=0,"",INDEX('Smelter Reference List'!$C:$C,MATCH($A1088,'Smelter Reference List'!$E:$E,0)))</f>
        <v/>
      </c>
      <c r="D1088" s="292" t="str">
        <f ca="1">IF(ISERROR($S1088),"",OFFSET('Smelter Reference List'!$C$4,$S1088-4,0)&amp;"")</f>
        <v/>
      </c>
      <c r="E1088" s="292" t="str">
        <f ca="1">IF(ISERROR($S1088),"",OFFSET('Smelter Reference List'!$D$4,$S1088-4,0)&amp;"")</f>
        <v/>
      </c>
      <c r="F1088" s="292" t="str">
        <f ca="1">IF(ISERROR($S1088),"",OFFSET('Smelter Reference List'!$E$4,$S1088-4,0))</f>
        <v/>
      </c>
      <c r="G1088" s="292" t="str">
        <f ca="1">IF(C1088=$U$4,"Enter smelter details", IF(ISERROR($S1088),"",OFFSET('Smelter Reference List'!$F$4,$S1088-4,0)))</f>
        <v/>
      </c>
      <c r="H1088" s="293" t="str">
        <f ca="1">IF(ISERROR($S1088),"",OFFSET('Smelter Reference List'!$G$4,$S1088-4,0))</f>
        <v/>
      </c>
      <c r="I1088" s="294" t="str">
        <f ca="1">IF(ISERROR($S1088),"",OFFSET('Smelter Reference List'!$H$4,$S1088-4,0))</f>
        <v/>
      </c>
      <c r="J1088" s="294" t="str">
        <f ca="1">IF(ISERROR($S1088),"",OFFSET('Smelter Reference List'!$I$4,$S1088-4,0))</f>
        <v/>
      </c>
      <c r="K1088" s="295"/>
      <c r="L1088" s="295"/>
      <c r="M1088" s="295"/>
      <c r="N1088" s="295"/>
      <c r="O1088" s="295"/>
      <c r="P1088" s="295"/>
      <c r="Q1088" s="296"/>
      <c r="R1088" s="227"/>
      <c r="S1088" s="228" t="e">
        <f>IF(C1088="",NA(),MATCH($B1088&amp;$C1088,'Smelter Reference List'!$J:$J,0))</f>
        <v>#N/A</v>
      </c>
      <c r="T1088" s="229"/>
      <c r="U1088" s="229">
        <f t="shared" ca="1" si="34"/>
        <v>0</v>
      </c>
      <c r="V1088" s="229"/>
      <c r="W1088" s="229"/>
      <c r="Y1088" s="223" t="str">
        <f t="shared" si="35"/>
        <v/>
      </c>
    </row>
    <row r="1089" spans="1:25" s="223" customFormat="1" ht="20.25">
      <c r="A1089" s="291"/>
      <c r="B1089" s="292" t="str">
        <f>IF(LEN(A1089)=0,"",INDEX('Smelter Reference List'!$A:$A,MATCH($A1089,'Smelter Reference List'!$E:$E,0)))</f>
        <v/>
      </c>
      <c r="C1089" s="298" t="str">
        <f>IF(LEN(A1089)=0,"",INDEX('Smelter Reference List'!$C:$C,MATCH($A1089,'Smelter Reference List'!$E:$E,0)))</f>
        <v/>
      </c>
      <c r="D1089" s="292" t="str">
        <f ca="1">IF(ISERROR($S1089),"",OFFSET('Smelter Reference List'!$C$4,$S1089-4,0)&amp;"")</f>
        <v/>
      </c>
      <c r="E1089" s="292" t="str">
        <f ca="1">IF(ISERROR($S1089),"",OFFSET('Smelter Reference List'!$D$4,$S1089-4,0)&amp;"")</f>
        <v/>
      </c>
      <c r="F1089" s="292" t="str">
        <f ca="1">IF(ISERROR($S1089),"",OFFSET('Smelter Reference List'!$E$4,$S1089-4,0))</f>
        <v/>
      </c>
      <c r="G1089" s="292" t="str">
        <f ca="1">IF(C1089=$U$4,"Enter smelter details", IF(ISERROR($S1089),"",OFFSET('Smelter Reference List'!$F$4,$S1089-4,0)))</f>
        <v/>
      </c>
      <c r="H1089" s="293" t="str">
        <f ca="1">IF(ISERROR($S1089),"",OFFSET('Smelter Reference List'!$G$4,$S1089-4,0))</f>
        <v/>
      </c>
      <c r="I1089" s="294" t="str">
        <f ca="1">IF(ISERROR($S1089),"",OFFSET('Smelter Reference List'!$H$4,$S1089-4,0))</f>
        <v/>
      </c>
      <c r="J1089" s="294" t="str">
        <f ca="1">IF(ISERROR($S1089),"",OFFSET('Smelter Reference List'!$I$4,$S1089-4,0))</f>
        <v/>
      </c>
      <c r="K1089" s="295"/>
      <c r="L1089" s="295"/>
      <c r="M1089" s="295"/>
      <c r="N1089" s="295"/>
      <c r="O1089" s="295"/>
      <c r="P1089" s="295"/>
      <c r="Q1089" s="296"/>
      <c r="R1089" s="227"/>
      <c r="S1089" s="228" t="e">
        <f>IF(C1089="",NA(),MATCH($B1089&amp;$C1089,'Smelter Reference List'!$J:$J,0))</f>
        <v>#N/A</v>
      </c>
      <c r="T1089" s="229"/>
      <c r="U1089" s="229">
        <f t="shared" ca="1" si="34"/>
        <v>0</v>
      </c>
      <c r="V1089" s="229"/>
      <c r="W1089" s="229"/>
      <c r="Y1089" s="223" t="str">
        <f t="shared" si="35"/>
        <v/>
      </c>
    </row>
    <row r="1090" spans="1:25" s="223" customFormat="1" ht="20.25">
      <c r="A1090" s="291"/>
      <c r="B1090" s="292" t="str">
        <f>IF(LEN(A1090)=0,"",INDEX('Smelter Reference List'!$A:$A,MATCH($A1090,'Smelter Reference List'!$E:$E,0)))</f>
        <v/>
      </c>
      <c r="C1090" s="298" t="str">
        <f>IF(LEN(A1090)=0,"",INDEX('Smelter Reference List'!$C:$C,MATCH($A1090,'Smelter Reference List'!$E:$E,0)))</f>
        <v/>
      </c>
      <c r="D1090" s="292" t="str">
        <f ca="1">IF(ISERROR($S1090),"",OFFSET('Smelter Reference List'!$C$4,$S1090-4,0)&amp;"")</f>
        <v/>
      </c>
      <c r="E1090" s="292" t="str">
        <f ca="1">IF(ISERROR($S1090),"",OFFSET('Smelter Reference List'!$D$4,$S1090-4,0)&amp;"")</f>
        <v/>
      </c>
      <c r="F1090" s="292" t="str">
        <f ca="1">IF(ISERROR($S1090),"",OFFSET('Smelter Reference List'!$E$4,$S1090-4,0))</f>
        <v/>
      </c>
      <c r="G1090" s="292" t="str">
        <f ca="1">IF(C1090=$U$4,"Enter smelter details", IF(ISERROR($S1090),"",OFFSET('Smelter Reference List'!$F$4,$S1090-4,0)))</f>
        <v/>
      </c>
      <c r="H1090" s="293" t="str">
        <f ca="1">IF(ISERROR($S1090),"",OFFSET('Smelter Reference List'!$G$4,$S1090-4,0))</f>
        <v/>
      </c>
      <c r="I1090" s="294" t="str">
        <f ca="1">IF(ISERROR($S1090),"",OFFSET('Smelter Reference List'!$H$4,$S1090-4,0))</f>
        <v/>
      </c>
      <c r="J1090" s="294" t="str">
        <f ca="1">IF(ISERROR($S1090),"",OFFSET('Smelter Reference List'!$I$4,$S1090-4,0))</f>
        <v/>
      </c>
      <c r="K1090" s="295"/>
      <c r="L1090" s="295"/>
      <c r="M1090" s="295"/>
      <c r="N1090" s="295"/>
      <c r="O1090" s="295"/>
      <c r="P1090" s="295"/>
      <c r="Q1090" s="296"/>
      <c r="R1090" s="227"/>
      <c r="S1090" s="228" t="e">
        <f>IF(C1090="",NA(),MATCH($B1090&amp;$C1090,'Smelter Reference List'!$J:$J,0))</f>
        <v>#N/A</v>
      </c>
      <c r="T1090" s="229"/>
      <c r="U1090" s="229">
        <f t="shared" ca="1" si="34"/>
        <v>0</v>
      </c>
      <c r="V1090" s="229"/>
      <c r="W1090" s="229"/>
      <c r="Y1090" s="223" t="str">
        <f t="shared" si="35"/>
        <v/>
      </c>
    </row>
    <row r="1091" spans="1:25" s="223" customFormat="1" ht="20.25">
      <c r="A1091" s="291"/>
      <c r="B1091" s="292" t="str">
        <f>IF(LEN(A1091)=0,"",INDEX('Smelter Reference List'!$A:$A,MATCH($A1091,'Smelter Reference List'!$E:$E,0)))</f>
        <v/>
      </c>
      <c r="C1091" s="298" t="str">
        <f>IF(LEN(A1091)=0,"",INDEX('Smelter Reference List'!$C:$C,MATCH($A1091,'Smelter Reference List'!$E:$E,0)))</f>
        <v/>
      </c>
      <c r="D1091" s="292" t="str">
        <f ca="1">IF(ISERROR($S1091),"",OFFSET('Smelter Reference List'!$C$4,$S1091-4,0)&amp;"")</f>
        <v/>
      </c>
      <c r="E1091" s="292" t="str">
        <f ca="1">IF(ISERROR($S1091),"",OFFSET('Smelter Reference List'!$D$4,$S1091-4,0)&amp;"")</f>
        <v/>
      </c>
      <c r="F1091" s="292" t="str">
        <f ca="1">IF(ISERROR($S1091),"",OFFSET('Smelter Reference List'!$E$4,$S1091-4,0))</f>
        <v/>
      </c>
      <c r="G1091" s="292" t="str">
        <f ca="1">IF(C1091=$U$4,"Enter smelter details", IF(ISERROR($S1091),"",OFFSET('Smelter Reference List'!$F$4,$S1091-4,0)))</f>
        <v/>
      </c>
      <c r="H1091" s="293" t="str">
        <f ca="1">IF(ISERROR($S1091),"",OFFSET('Smelter Reference List'!$G$4,$S1091-4,0))</f>
        <v/>
      </c>
      <c r="I1091" s="294" t="str">
        <f ca="1">IF(ISERROR($S1091),"",OFFSET('Smelter Reference List'!$H$4,$S1091-4,0))</f>
        <v/>
      </c>
      <c r="J1091" s="294" t="str">
        <f ca="1">IF(ISERROR($S1091),"",OFFSET('Smelter Reference List'!$I$4,$S1091-4,0))</f>
        <v/>
      </c>
      <c r="K1091" s="295"/>
      <c r="L1091" s="295"/>
      <c r="M1091" s="295"/>
      <c r="N1091" s="295"/>
      <c r="O1091" s="295"/>
      <c r="P1091" s="295"/>
      <c r="Q1091" s="296"/>
      <c r="R1091" s="227"/>
      <c r="S1091" s="228" t="e">
        <f>IF(C1091="",NA(),MATCH($B1091&amp;$C1091,'Smelter Reference List'!$J:$J,0))</f>
        <v>#N/A</v>
      </c>
      <c r="T1091" s="229"/>
      <c r="U1091" s="229">
        <f t="shared" ca="1" si="34"/>
        <v>0</v>
      </c>
      <c r="V1091" s="229"/>
      <c r="W1091" s="229"/>
      <c r="Y1091" s="223" t="str">
        <f t="shared" si="35"/>
        <v/>
      </c>
    </row>
    <row r="1092" spans="1:25" s="223" customFormat="1" ht="20.25">
      <c r="A1092" s="291"/>
      <c r="B1092" s="292" t="str">
        <f>IF(LEN(A1092)=0,"",INDEX('Smelter Reference List'!$A:$A,MATCH($A1092,'Smelter Reference List'!$E:$E,0)))</f>
        <v/>
      </c>
      <c r="C1092" s="298" t="str">
        <f>IF(LEN(A1092)=0,"",INDEX('Smelter Reference List'!$C:$C,MATCH($A1092,'Smelter Reference List'!$E:$E,0)))</f>
        <v/>
      </c>
      <c r="D1092" s="292" t="str">
        <f ca="1">IF(ISERROR($S1092),"",OFFSET('Smelter Reference List'!$C$4,$S1092-4,0)&amp;"")</f>
        <v/>
      </c>
      <c r="E1092" s="292" t="str">
        <f ca="1">IF(ISERROR($S1092),"",OFFSET('Smelter Reference List'!$D$4,$S1092-4,0)&amp;"")</f>
        <v/>
      </c>
      <c r="F1092" s="292" t="str">
        <f ca="1">IF(ISERROR($S1092),"",OFFSET('Smelter Reference List'!$E$4,$S1092-4,0))</f>
        <v/>
      </c>
      <c r="G1092" s="292" t="str">
        <f ca="1">IF(C1092=$U$4,"Enter smelter details", IF(ISERROR($S1092),"",OFFSET('Smelter Reference List'!$F$4,$S1092-4,0)))</f>
        <v/>
      </c>
      <c r="H1092" s="293" t="str">
        <f ca="1">IF(ISERROR($S1092),"",OFFSET('Smelter Reference List'!$G$4,$S1092-4,0))</f>
        <v/>
      </c>
      <c r="I1092" s="294" t="str">
        <f ca="1">IF(ISERROR($S1092),"",OFFSET('Smelter Reference List'!$H$4,$S1092-4,0))</f>
        <v/>
      </c>
      <c r="J1092" s="294" t="str">
        <f ca="1">IF(ISERROR($S1092),"",OFFSET('Smelter Reference List'!$I$4,$S1092-4,0))</f>
        <v/>
      </c>
      <c r="K1092" s="295"/>
      <c r="L1092" s="295"/>
      <c r="M1092" s="295"/>
      <c r="N1092" s="295"/>
      <c r="O1092" s="295"/>
      <c r="P1092" s="295"/>
      <c r="Q1092" s="296"/>
      <c r="R1092" s="227"/>
      <c r="S1092" s="228" t="e">
        <f>IF(C1092="",NA(),MATCH($B1092&amp;$C1092,'Smelter Reference List'!$J:$J,0))</f>
        <v>#N/A</v>
      </c>
      <c r="T1092" s="229"/>
      <c r="U1092" s="229">
        <f t="shared" ca="1" si="34"/>
        <v>0</v>
      </c>
      <c r="V1092" s="229"/>
      <c r="W1092" s="229"/>
      <c r="Y1092" s="223" t="str">
        <f t="shared" si="35"/>
        <v/>
      </c>
    </row>
    <row r="1093" spans="1:25" s="223" customFormat="1" ht="20.25">
      <c r="A1093" s="291"/>
      <c r="B1093" s="292" t="str">
        <f>IF(LEN(A1093)=0,"",INDEX('Smelter Reference List'!$A:$A,MATCH($A1093,'Smelter Reference List'!$E:$E,0)))</f>
        <v/>
      </c>
      <c r="C1093" s="298" t="str">
        <f>IF(LEN(A1093)=0,"",INDEX('Smelter Reference List'!$C:$C,MATCH($A1093,'Smelter Reference List'!$E:$E,0)))</f>
        <v/>
      </c>
      <c r="D1093" s="292" t="str">
        <f ca="1">IF(ISERROR($S1093),"",OFFSET('Smelter Reference List'!$C$4,$S1093-4,0)&amp;"")</f>
        <v/>
      </c>
      <c r="E1093" s="292" t="str">
        <f ca="1">IF(ISERROR($S1093),"",OFFSET('Smelter Reference List'!$D$4,$S1093-4,0)&amp;"")</f>
        <v/>
      </c>
      <c r="F1093" s="292" t="str">
        <f ca="1">IF(ISERROR($S1093),"",OFFSET('Smelter Reference List'!$E$4,$S1093-4,0))</f>
        <v/>
      </c>
      <c r="G1093" s="292" t="str">
        <f ca="1">IF(C1093=$U$4,"Enter smelter details", IF(ISERROR($S1093),"",OFFSET('Smelter Reference List'!$F$4,$S1093-4,0)))</f>
        <v/>
      </c>
      <c r="H1093" s="293" t="str">
        <f ca="1">IF(ISERROR($S1093),"",OFFSET('Smelter Reference List'!$G$4,$S1093-4,0))</f>
        <v/>
      </c>
      <c r="I1093" s="294" t="str">
        <f ca="1">IF(ISERROR($S1093),"",OFFSET('Smelter Reference List'!$H$4,$S1093-4,0))</f>
        <v/>
      </c>
      <c r="J1093" s="294" t="str">
        <f ca="1">IF(ISERROR($S1093),"",OFFSET('Smelter Reference List'!$I$4,$S1093-4,0))</f>
        <v/>
      </c>
      <c r="K1093" s="295"/>
      <c r="L1093" s="295"/>
      <c r="M1093" s="295"/>
      <c r="N1093" s="295"/>
      <c r="O1093" s="295"/>
      <c r="P1093" s="295"/>
      <c r="Q1093" s="296"/>
      <c r="R1093" s="227"/>
      <c r="S1093" s="228" t="e">
        <f>IF(C1093="",NA(),MATCH($B1093&amp;$C1093,'Smelter Reference List'!$J:$J,0))</f>
        <v>#N/A</v>
      </c>
      <c r="T1093" s="229"/>
      <c r="U1093" s="229">
        <f t="shared" ref="U1093:U1156" ca="1" si="36">IF(AND(C1093="Smelter not listed",OR(LEN(D1093)=0,LEN(E1093)=0)),1,0)</f>
        <v>0</v>
      </c>
      <c r="V1093" s="229"/>
      <c r="W1093" s="229"/>
      <c r="Y1093" s="223" t="str">
        <f t="shared" ref="Y1093:Y1156" si="37">B1093&amp;C1093</f>
        <v/>
      </c>
    </row>
    <row r="1094" spans="1:25" s="223" customFormat="1" ht="20.25">
      <c r="A1094" s="291"/>
      <c r="B1094" s="292" t="str">
        <f>IF(LEN(A1094)=0,"",INDEX('Smelter Reference List'!$A:$A,MATCH($A1094,'Smelter Reference List'!$E:$E,0)))</f>
        <v/>
      </c>
      <c r="C1094" s="298" t="str">
        <f>IF(LEN(A1094)=0,"",INDEX('Smelter Reference List'!$C:$C,MATCH($A1094,'Smelter Reference List'!$E:$E,0)))</f>
        <v/>
      </c>
      <c r="D1094" s="292" t="str">
        <f ca="1">IF(ISERROR($S1094),"",OFFSET('Smelter Reference List'!$C$4,$S1094-4,0)&amp;"")</f>
        <v/>
      </c>
      <c r="E1094" s="292" t="str">
        <f ca="1">IF(ISERROR($S1094),"",OFFSET('Smelter Reference List'!$D$4,$S1094-4,0)&amp;"")</f>
        <v/>
      </c>
      <c r="F1094" s="292" t="str">
        <f ca="1">IF(ISERROR($S1094),"",OFFSET('Smelter Reference List'!$E$4,$S1094-4,0))</f>
        <v/>
      </c>
      <c r="G1094" s="292" t="str">
        <f ca="1">IF(C1094=$U$4,"Enter smelter details", IF(ISERROR($S1094),"",OFFSET('Smelter Reference List'!$F$4,$S1094-4,0)))</f>
        <v/>
      </c>
      <c r="H1094" s="293" t="str">
        <f ca="1">IF(ISERROR($S1094),"",OFFSET('Smelter Reference List'!$G$4,$S1094-4,0))</f>
        <v/>
      </c>
      <c r="I1094" s="294" t="str">
        <f ca="1">IF(ISERROR($S1094),"",OFFSET('Smelter Reference List'!$H$4,$S1094-4,0))</f>
        <v/>
      </c>
      <c r="J1094" s="294" t="str">
        <f ca="1">IF(ISERROR($S1094),"",OFFSET('Smelter Reference List'!$I$4,$S1094-4,0))</f>
        <v/>
      </c>
      <c r="K1094" s="295"/>
      <c r="L1094" s="295"/>
      <c r="M1094" s="295"/>
      <c r="N1094" s="295"/>
      <c r="O1094" s="295"/>
      <c r="P1094" s="295"/>
      <c r="Q1094" s="296"/>
      <c r="R1094" s="227"/>
      <c r="S1094" s="228" t="e">
        <f>IF(C1094="",NA(),MATCH($B1094&amp;$C1094,'Smelter Reference List'!$J:$J,0))</f>
        <v>#N/A</v>
      </c>
      <c r="T1094" s="229"/>
      <c r="U1094" s="229">
        <f t="shared" ca="1" si="36"/>
        <v>0</v>
      </c>
      <c r="V1094" s="229"/>
      <c r="W1094" s="229"/>
      <c r="Y1094" s="223" t="str">
        <f t="shared" si="37"/>
        <v/>
      </c>
    </row>
    <row r="1095" spans="1:25" s="223" customFormat="1" ht="20.25">
      <c r="A1095" s="291"/>
      <c r="B1095" s="292" t="str">
        <f>IF(LEN(A1095)=0,"",INDEX('Smelter Reference List'!$A:$A,MATCH($A1095,'Smelter Reference List'!$E:$E,0)))</f>
        <v/>
      </c>
      <c r="C1095" s="298" t="str">
        <f>IF(LEN(A1095)=0,"",INDEX('Smelter Reference List'!$C:$C,MATCH($A1095,'Smelter Reference List'!$E:$E,0)))</f>
        <v/>
      </c>
      <c r="D1095" s="292" t="str">
        <f ca="1">IF(ISERROR($S1095),"",OFFSET('Smelter Reference List'!$C$4,$S1095-4,0)&amp;"")</f>
        <v/>
      </c>
      <c r="E1095" s="292" t="str">
        <f ca="1">IF(ISERROR($S1095),"",OFFSET('Smelter Reference List'!$D$4,$S1095-4,0)&amp;"")</f>
        <v/>
      </c>
      <c r="F1095" s="292" t="str">
        <f ca="1">IF(ISERROR($S1095),"",OFFSET('Smelter Reference List'!$E$4,$S1095-4,0))</f>
        <v/>
      </c>
      <c r="G1095" s="292" t="str">
        <f ca="1">IF(C1095=$U$4,"Enter smelter details", IF(ISERROR($S1095),"",OFFSET('Smelter Reference List'!$F$4,$S1095-4,0)))</f>
        <v/>
      </c>
      <c r="H1095" s="293" t="str">
        <f ca="1">IF(ISERROR($S1095),"",OFFSET('Smelter Reference List'!$G$4,$S1095-4,0))</f>
        <v/>
      </c>
      <c r="I1095" s="294" t="str">
        <f ca="1">IF(ISERROR($S1095),"",OFFSET('Smelter Reference List'!$H$4,$S1095-4,0))</f>
        <v/>
      </c>
      <c r="J1095" s="294" t="str">
        <f ca="1">IF(ISERROR($S1095),"",OFFSET('Smelter Reference List'!$I$4,$S1095-4,0))</f>
        <v/>
      </c>
      <c r="K1095" s="295"/>
      <c r="L1095" s="295"/>
      <c r="M1095" s="295"/>
      <c r="N1095" s="295"/>
      <c r="O1095" s="295"/>
      <c r="P1095" s="295"/>
      <c r="Q1095" s="296"/>
      <c r="R1095" s="227"/>
      <c r="S1095" s="228" t="e">
        <f>IF(C1095="",NA(),MATCH($B1095&amp;$C1095,'Smelter Reference List'!$J:$J,0))</f>
        <v>#N/A</v>
      </c>
      <c r="T1095" s="229"/>
      <c r="U1095" s="229">
        <f t="shared" ca="1" si="36"/>
        <v>0</v>
      </c>
      <c r="V1095" s="229"/>
      <c r="W1095" s="229"/>
      <c r="Y1095" s="223" t="str">
        <f t="shared" si="37"/>
        <v/>
      </c>
    </row>
    <row r="1096" spans="1:25" s="223" customFormat="1" ht="20.25">
      <c r="A1096" s="291"/>
      <c r="B1096" s="292" t="str">
        <f>IF(LEN(A1096)=0,"",INDEX('Smelter Reference List'!$A:$A,MATCH($A1096,'Smelter Reference List'!$E:$E,0)))</f>
        <v/>
      </c>
      <c r="C1096" s="298" t="str">
        <f>IF(LEN(A1096)=0,"",INDEX('Smelter Reference List'!$C:$C,MATCH($A1096,'Smelter Reference List'!$E:$E,0)))</f>
        <v/>
      </c>
      <c r="D1096" s="292" t="str">
        <f ca="1">IF(ISERROR($S1096),"",OFFSET('Smelter Reference List'!$C$4,$S1096-4,0)&amp;"")</f>
        <v/>
      </c>
      <c r="E1096" s="292" t="str">
        <f ca="1">IF(ISERROR($S1096),"",OFFSET('Smelter Reference List'!$D$4,$S1096-4,0)&amp;"")</f>
        <v/>
      </c>
      <c r="F1096" s="292" t="str">
        <f ca="1">IF(ISERROR($S1096),"",OFFSET('Smelter Reference List'!$E$4,$S1096-4,0))</f>
        <v/>
      </c>
      <c r="G1096" s="292" t="str">
        <f ca="1">IF(C1096=$U$4,"Enter smelter details", IF(ISERROR($S1096),"",OFFSET('Smelter Reference List'!$F$4,$S1096-4,0)))</f>
        <v/>
      </c>
      <c r="H1096" s="293" t="str">
        <f ca="1">IF(ISERROR($S1096),"",OFFSET('Smelter Reference List'!$G$4,$S1096-4,0))</f>
        <v/>
      </c>
      <c r="I1096" s="294" t="str">
        <f ca="1">IF(ISERROR($S1096),"",OFFSET('Smelter Reference List'!$H$4,$S1096-4,0))</f>
        <v/>
      </c>
      <c r="J1096" s="294" t="str">
        <f ca="1">IF(ISERROR($S1096),"",OFFSET('Smelter Reference List'!$I$4,$S1096-4,0))</f>
        <v/>
      </c>
      <c r="K1096" s="295"/>
      <c r="L1096" s="295"/>
      <c r="M1096" s="295"/>
      <c r="N1096" s="295"/>
      <c r="O1096" s="295"/>
      <c r="P1096" s="295"/>
      <c r="Q1096" s="296"/>
      <c r="R1096" s="227"/>
      <c r="S1096" s="228" t="e">
        <f>IF(C1096="",NA(),MATCH($B1096&amp;$C1096,'Smelter Reference List'!$J:$J,0))</f>
        <v>#N/A</v>
      </c>
      <c r="T1096" s="229"/>
      <c r="U1096" s="229">
        <f t="shared" ca="1" si="36"/>
        <v>0</v>
      </c>
      <c r="V1096" s="229"/>
      <c r="W1096" s="229"/>
      <c r="Y1096" s="223" t="str">
        <f t="shared" si="37"/>
        <v/>
      </c>
    </row>
    <row r="1097" spans="1:25" s="223" customFormat="1" ht="20.25">
      <c r="A1097" s="291"/>
      <c r="B1097" s="292" t="str">
        <f>IF(LEN(A1097)=0,"",INDEX('Smelter Reference List'!$A:$A,MATCH($A1097,'Smelter Reference List'!$E:$E,0)))</f>
        <v/>
      </c>
      <c r="C1097" s="298" t="str">
        <f>IF(LEN(A1097)=0,"",INDEX('Smelter Reference List'!$C:$C,MATCH($A1097,'Smelter Reference List'!$E:$E,0)))</f>
        <v/>
      </c>
      <c r="D1097" s="292" t="str">
        <f ca="1">IF(ISERROR($S1097),"",OFFSET('Smelter Reference List'!$C$4,$S1097-4,0)&amp;"")</f>
        <v/>
      </c>
      <c r="E1097" s="292" t="str">
        <f ca="1">IF(ISERROR($S1097),"",OFFSET('Smelter Reference List'!$D$4,$S1097-4,0)&amp;"")</f>
        <v/>
      </c>
      <c r="F1097" s="292" t="str">
        <f ca="1">IF(ISERROR($S1097),"",OFFSET('Smelter Reference List'!$E$4,$S1097-4,0))</f>
        <v/>
      </c>
      <c r="G1097" s="292" t="str">
        <f ca="1">IF(C1097=$U$4,"Enter smelter details", IF(ISERROR($S1097),"",OFFSET('Smelter Reference List'!$F$4,$S1097-4,0)))</f>
        <v/>
      </c>
      <c r="H1097" s="293" t="str">
        <f ca="1">IF(ISERROR($S1097),"",OFFSET('Smelter Reference List'!$G$4,$S1097-4,0))</f>
        <v/>
      </c>
      <c r="I1097" s="294" t="str">
        <f ca="1">IF(ISERROR($S1097),"",OFFSET('Smelter Reference List'!$H$4,$S1097-4,0))</f>
        <v/>
      </c>
      <c r="J1097" s="294" t="str">
        <f ca="1">IF(ISERROR($S1097),"",OFFSET('Smelter Reference List'!$I$4,$S1097-4,0))</f>
        <v/>
      </c>
      <c r="K1097" s="295"/>
      <c r="L1097" s="295"/>
      <c r="M1097" s="295"/>
      <c r="N1097" s="295"/>
      <c r="O1097" s="295"/>
      <c r="P1097" s="295"/>
      <c r="Q1097" s="296"/>
      <c r="R1097" s="227"/>
      <c r="S1097" s="228" t="e">
        <f>IF(C1097="",NA(),MATCH($B1097&amp;$C1097,'Smelter Reference List'!$J:$J,0))</f>
        <v>#N/A</v>
      </c>
      <c r="T1097" s="229"/>
      <c r="U1097" s="229">
        <f t="shared" ca="1" si="36"/>
        <v>0</v>
      </c>
      <c r="V1097" s="229"/>
      <c r="W1097" s="229"/>
      <c r="Y1097" s="223" t="str">
        <f t="shared" si="37"/>
        <v/>
      </c>
    </row>
    <row r="1098" spans="1:25" s="223" customFormat="1" ht="20.25">
      <c r="A1098" s="291"/>
      <c r="B1098" s="292" t="str">
        <f>IF(LEN(A1098)=0,"",INDEX('Smelter Reference List'!$A:$A,MATCH($A1098,'Smelter Reference List'!$E:$E,0)))</f>
        <v/>
      </c>
      <c r="C1098" s="298" t="str">
        <f>IF(LEN(A1098)=0,"",INDEX('Smelter Reference List'!$C:$C,MATCH($A1098,'Smelter Reference List'!$E:$E,0)))</f>
        <v/>
      </c>
      <c r="D1098" s="292" t="str">
        <f ca="1">IF(ISERROR($S1098),"",OFFSET('Smelter Reference List'!$C$4,$S1098-4,0)&amp;"")</f>
        <v/>
      </c>
      <c r="E1098" s="292" t="str">
        <f ca="1">IF(ISERROR($S1098),"",OFFSET('Smelter Reference List'!$D$4,$S1098-4,0)&amp;"")</f>
        <v/>
      </c>
      <c r="F1098" s="292" t="str">
        <f ca="1">IF(ISERROR($S1098),"",OFFSET('Smelter Reference List'!$E$4,$S1098-4,0))</f>
        <v/>
      </c>
      <c r="G1098" s="292" t="str">
        <f ca="1">IF(C1098=$U$4,"Enter smelter details", IF(ISERROR($S1098),"",OFFSET('Smelter Reference List'!$F$4,$S1098-4,0)))</f>
        <v/>
      </c>
      <c r="H1098" s="293" t="str">
        <f ca="1">IF(ISERROR($S1098),"",OFFSET('Smelter Reference List'!$G$4,$S1098-4,0))</f>
        <v/>
      </c>
      <c r="I1098" s="294" t="str">
        <f ca="1">IF(ISERROR($S1098),"",OFFSET('Smelter Reference List'!$H$4,$S1098-4,0))</f>
        <v/>
      </c>
      <c r="J1098" s="294" t="str">
        <f ca="1">IF(ISERROR($S1098),"",OFFSET('Smelter Reference List'!$I$4,$S1098-4,0))</f>
        <v/>
      </c>
      <c r="K1098" s="295"/>
      <c r="L1098" s="295"/>
      <c r="M1098" s="295"/>
      <c r="N1098" s="295"/>
      <c r="O1098" s="295"/>
      <c r="P1098" s="295"/>
      <c r="Q1098" s="296"/>
      <c r="R1098" s="227"/>
      <c r="S1098" s="228" t="e">
        <f>IF(C1098="",NA(),MATCH($B1098&amp;$C1098,'Smelter Reference List'!$J:$J,0))</f>
        <v>#N/A</v>
      </c>
      <c r="T1098" s="229"/>
      <c r="U1098" s="229">
        <f t="shared" ca="1" si="36"/>
        <v>0</v>
      </c>
      <c r="V1098" s="229"/>
      <c r="W1098" s="229"/>
      <c r="Y1098" s="223" t="str">
        <f t="shared" si="37"/>
        <v/>
      </c>
    </row>
    <row r="1099" spans="1:25" s="223" customFormat="1" ht="20.25">
      <c r="A1099" s="291"/>
      <c r="B1099" s="292" t="str">
        <f>IF(LEN(A1099)=0,"",INDEX('Smelter Reference List'!$A:$A,MATCH($A1099,'Smelter Reference List'!$E:$E,0)))</f>
        <v/>
      </c>
      <c r="C1099" s="298" t="str">
        <f>IF(LEN(A1099)=0,"",INDEX('Smelter Reference List'!$C:$C,MATCH($A1099,'Smelter Reference List'!$E:$E,0)))</f>
        <v/>
      </c>
      <c r="D1099" s="292" t="str">
        <f ca="1">IF(ISERROR($S1099),"",OFFSET('Smelter Reference List'!$C$4,$S1099-4,0)&amp;"")</f>
        <v/>
      </c>
      <c r="E1099" s="292" t="str">
        <f ca="1">IF(ISERROR($S1099),"",OFFSET('Smelter Reference List'!$D$4,$S1099-4,0)&amp;"")</f>
        <v/>
      </c>
      <c r="F1099" s="292" t="str">
        <f ca="1">IF(ISERROR($S1099),"",OFFSET('Smelter Reference List'!$E$4,$S1099-4,0))</f>
        <v/>
      </c>
      <c r="G1099" s="292" t="str">
        <f ca="1">IF(C1099=$U$4,"Enter smelter details", IF(ISERROR($S1099),"",OFFSET('Smelter Reference List'!$F$4,$S1099-4,0)))</f>
        <v/>
      </c>
      <c r="H1099" s="293" t="str">
        <f ca="1">IF(ISERROR($S1099),"",OFFSET('Smelter Reference List'!$G$4,$S1099-4,0))</f>
        <v/>
      </c>
      <c r="I1099" s="294" t="str">
        <f ca="1">IF(ISERROR($S1099),"",OFFSET('Smelter Reference List'!$H$4,$S1099-4,0))</f>
        <v/>
      </c>
      <c r="J1099" s="294" t="str">
        <f ca="1">IF(ISERROR($S1099),"",OFFSET('Smelter Reference List'!$I$4,$S1099-4,0))</f>
        <v/>
      </c>
      <c r="K1099" s="295"/>
      <c r="L1099" s="295"/>
      <c r="M1099" s="295"/>
      <c r="N1099" s="295"/>
      <c r="O1099" s="295"/>
      <c r="P1099" s="295"/>
      <c r="Q1099" s="296"/>
      <c r="R1099" s="227"/>
      <c r="S1099" s="228" t="e">
        <f>IF(C1099="",NA(),MATCH($B1099&amp;$C1099,'Smelter Reference List'!$J:$J,0))</f>
        <v>#N/A</v>
      </c>
      <c r="T1099" s="229"/>
      <c r="U1099" s="229">
        <f t="shared" ca="1" si="36"/>
        <v>0</v>
      </c>
      <c r="V1099" s="229"/>
      <c r="W1099" s="229"/>
      <c r="Y1099" s="223" t="str">
        <f t="shared" si="37"/>
        <v/>
      </c>
    </row>
    <row r="1100" spans="1:25" s="223" customFormat="1" ht="20.25">
      <c r="A1100" s="291"/>
      <c r="B1100" s="292" t="str">
        <f>IF(LEN(A1100)=0,"",INDEX('Smelter Reference List'!$A:$A,MATCH($A1100,'Smelter Reference List'!$E:$E,0)))</f>
        <v/>
      </c>
      <c r="C1100" s="298" t="str">
        <f>IF(LEN(A1100)=0,"",INDEX('Smelter Reference List'!$C:$C,MATCH($A1100,'Smelter Reference List'!$E:$E,0)))</f>
        <v/>
      </c>
      <c r="D1100" s="292" t="str">
        <f ca="1">IF(ISERROR($S1100),"",OFFSET('Smelter Reference List'!$C$4,$S1100-4,0)&amp;"")</f>
        <v/>
      </c>
      <c r="E1100" s="292" t="str">
        <f ca="1">IF(ISERROR($S1100),"",OFFSET('Smelter Reference List'!$D$4,$S1100-4,0)&amp;"")</f>
        <v/>
      </c>
      <c r="F1100" s="292" t="str">
        <f ca="1">IF(ISERROR($S1100),"",OFFSET('Smelter Reference List'!$E$4,$S1100-4,0))</f>
        <v/>
      </c>
      <c r="G1100" s="292" t="str">
        <f ca="1">IF(C1100=$U$4,"Enter smelter details", IF(ISERROR($S1100),"",OFFSET('Smelter Reference List'!$F$4,$S1100-4,0)))</f>
        <v/>
      </c>
      <c r="H1100" s="293" t="str">
        <f ca="1">IF(ISERROR($S1100),"",OFFSET('Smelter Reference List'!$G$4,$S1100-4,0))</f>
        <v/>
      </c>
      <c r="I1100" s="294" t="str">
        <f ca="1">IF(ISERROR($S1100),"",OFFSET('Smelter Reference List'!$H$4,$S1100-4,0))</f>
        <v/>
      </c>
      <c r="J1100" s="294" t="str">
        <f ca="1">IF(ISERROR($S1100),"",OFFSET('Smelter Reference List'!$I$4,$S1100-4,0))</f>
        <v/>
      </c>
      <c r="K1100" s="295"/>
      <c r="L1100" s="295"/>
      <c r="M1100" s="295"/>
      <c r="N1100" s="295"/>
      <c r="O1100" s="295"/>
      <c r="P1100" s="295"/>
      <c r="Q1100" s="296"/>
      <c r="R1100" s="227"/>
      <c r="S1100" s="228" t="e">
        <f>IF(C1100="",NA(),MATCH($B1100&amp;$C1100,'Smelter Reference List'!$J:$J,0))</f>
        <v>#N/A</v>
      </c>
      <c r="T1100" s="229"/>
      <c r="U1100" s="229">
        <f t="shared" ca="1" si="36"/>
        <v>0</v>
      </c>
      <c r="V1100" s="229"/>
      <c r="W1100" s="229"/>
      <c r="Y1100" s="223" t="str">
        <f t="shared" si="37"/>
        <v/>
      </c>
    </row>
    <row r="1101" spans="1:25" s="223" customFormat="1" ht="20.25">
      <c r="A1101" s="291"/>
      <c r="B1101" s="292" t="str">
        <f>IF(LEN(A1101)=0,"",INDEX('Smelter Reference List'!$A:$A,MATCH($A1101,'Smelter Reference List'!$E:$E,0)))</f>
        <v/>
      </c>
      <c r="C1101" s="298" t="str">
        <f>IF(LEN(A1101)=0,"",INDEX('Smelter Reference List'!$C:$C,MATCH($A1101,'Smelter Reference List'!$E:$E,0)))</f>
        <v/>
      </c>
      <c r="D1101" s="292" t="str">
        <f ca="1">IF(ISERROR($S1101),"",OFFSET('Smelter Reference List'!$C$4,$S1101-4,0)&amp;"")</f>
        <v/>
      </c>
      <c r="E1101" s="292" t="str">
        <f ca="1">IF(ISERROR($S1101),"",OFFSET('Smelter Reference List'!$D$4,$S1101-4,0)&amp;"")</f>
        <v/>
      </c>
      <c r="F1101" s="292" t="str">
        <f ca="1">IF(ISERROR($S1101),"",OFFSET('Smelter Reference List'!$E$4,$S1101-4,0))</f>
        <v/>
      </c>
      <c r="G1101" s="292" t="str">
        <f ca="1">IF(C1101=$U$4,"Enter smelter details", IF(ISERROR($S1101),"",OFFSET('Smelter Reference List'!$F$4,$S1101-4,0)))</f>
        <v/>
      </c>
      <c r="H1101" s="293" t="str">
        <f ca="1">IF(ISERROR($S1101),"",OFFSET('Smelter Reference List'!$G$4,$S1101-4,0))</f>
        <v/>
      </c>
      <c r="I1101" s="294" t="str">
        <f ca="1">IF(ISERROR($S1101),"",OFFSET('Smelter Reference List'!$H$4,$S1101-4,0))</f>
        <v/>
      </c>
      <c r="J1101" s="294" t="str">
        <f ca="1">IF(ISERROR($S1101),"",OFFSET('Smelter Reference List'!$I$4,$S1101-4,0))</f>
        <v/>
      </c>
      <c r="K1101" s="295"/>
      <c r="L1101" s="295"/>
      <c r="M1101" s="295"/>
      <c r="N1101" s="295"/>
      <c r="O1101" s="295"/>
      <c r="P1101" s="295"/>
      <c r="Q1101" s="296"/>
      <c r="R1101" s="227"/>
      <c r="S1101" s="228" t="e">
        <f>IF(C1101="",NA(),MATCH($B1101&amp;$C1101,'Smelter Reference List'!$J:$J,0))</f>
        <v>#N/A</v>
      </c>
      <c r="T1101" s="229"/>
      <c r="U1101" s="229">
        <f t="shared" ca="1" si="36"/>
        <v>0</v>
      </c>
      <c r="V1101" s="229"/>
      <c r="W1101" s="229"/>
      <c r="Y1101" s="223" t="str">
        <f t="shared" si="37"/>
        <v/>
      </c>
    </row>
    <row r="1102" spans="1:25" s="223" customFormat="1" ht="20.25">
      <c r="A1102" s="291"/>
      <c r="B1102" s="292" t="str">
        <f>IF(LEN(A1102)=0,"",INDEX('Smelter Reference List'!$A:$A,MATCH($A1102,'Smelter Reference List'!$E:$E,0)))</f>
        <v/>
      </c>
      <c r="C1102" s="298" t="str">
        <f>IF(LEN(A1102)=0,"",INDEX('Smelter Reference List'!$C:$C,MATCH($A1102,'Smelter Reference List'!$E:$E,0)))</f>
        <v/>
      </c>
      <c r="D1102" s="292" t="str">
        <f ca="1">IF(ISERROR($S1102),"",OFFSET('Smelter Reference List'!$C$4,$S1102-4,0)&amp;"")</f>
        <v/>
      </c>
      <c r="E1102" s="292" t="str">
        <f ca="1">IF(ISERROR($S1102),"",OFFSET('Smelter Reference List'!$D$4,$S1102-4,0)&amp;"")</f>
        <v/>
      </c>
      <c r="F1102" s="292" t="str">
        <f ca="1">IF(ISERROR($S1102),"",OFFSET('Smelter Reference List'!$E$4,$S1102-4,0))</f>
        <v/>
      </c>
      <c r="G1102" s="292" t="str">
        <f ca="1">IF(C1102=$U$4,"Enter smelter details", IF(ISERROR($S1102),"",OFFSET('Smelter Reference List'!$F$4,$S1102-4,0)))</f>
        <v/>
      </c>
      <c r="H1102" s="293" t="str">
        <f ca="1">IF(ISERROR($S1102),"",OFFSET('Smelter Reference List'!$G$4,$S1102-4,0))</f>
        <v/>
      </c>
      <c r="I1102" s="294" t="str">
        <f ca="1">IF(ISERROR($S1102),"",OFFSET('Smelter Reference List'!$H$4,$S1102-4,0))</f>
        <v/>
      </c>
      <c r="J1102" s="294" t="str">
        <f ca="1">IF(ISERROR($S1102),"",OFFSET('Smelter Reference List'!$I$4,$S1102-4,0))</f>
        <v/>
      </c>
      <c r="K1102" s="295"/>
      <c r="L1102" s="295"/>
      <c r="M1102" s="295"/>
      <c r="N1102" s="295"/>
      <c r="O1102" s="295"/>
      <c r="P1102" s="295"/>
      <c r="Q1102" s="296"/>
      <c r="R1102" s="227"/>
      <c r="S1102" s="228" t="e">
        <f>IF(C1102="",NA(),MATCH($B1102&amp;$C1102,'Smelter Reference List'!$J:$J,0))</f>
        <v>#N/A</v>
      </c>
      <c r="T1102" s="229"/>
      <c r="U1102" s="229">
        <f t="shared" ca="1" si="36"/>
        <v>0</v>
      </c>
      <c r="V1102" s="229"/>
      <c r="W1102" s="229"/>
      <c r="Y1102" s="223" t="str">
        <f t="shared" si="37"/>
        <v/>
      </c>
    </row>
    <row r="1103" spans="1:25" s="223" customFormat="1" ht="20.25">
      <c r="A1103" s="291"/>
      <c r="B1103" s="292" t="str">
        <f>IF(LEN(A1103)=0,"",INDEX('Smelter Reference List'!$A:$A,MATCH($A1103,'Smelter Reference List'!$E:$E,0)))</f>
        <v/>
      </c>
      <c r="C1103" s="298" t="str">
        <f>IF(LEN(A1103)=0,"",INDEX('Smelter Reference List'!$C:$C,MATCH($A1103,'Smelter Reference List'!$E:$E,0)))</f>
        <v/>
      </c>
      <c r="D1103" s="292" t="str">
        <f ca="1">IF(ISERROR($S1103),"",OFFSET('Smelter Reference List'!$C$4,$S1103-4,0)&amp;"")</f>
        <v/>
      </c>
      <c r="E1103" s="292" t="str">
        <f ca="1">IF(ISERROR($S1103),"",OFFSET('Smelter Reference List'!$D$4,$S1103-4,0)&amp;"")</f>
        <v/>
      </c>
      <c r="F1103" s="292" t="str">
        <f ca="1">IF(ISERROR($S1103),"",OFFSET('Smelter Reference List'!$E$4,$S1103-4,0))</f>
        <v/>
      </c>
      <c r="G1103" s="292" t="str">
        <f ca="1">IF(C1103=$U$4,"Enter smelter details", IF(ISERROR($S1103),"",OFFSET('Smelter Reference List'!$F$4,$S1103-4,0)))</f>
        <v/>
      </c>
      <c r="H1103" s="293" t="str">
        <f ca="1">IF(ISERROR($S1103),"",OFFSET('Smelter Reference List'!$G$4,$S1103-4,0))</f>
        <v/>
      </c>
      <c r="I1103" s="294" t="str">
        <f ca="1">IF(ISERROR($S1103),"",OFFSET('Smelter Reference List'!$H$4,$S1103-4,0))</f>
        <v/>
      </c>
      <c r="J1103" s="294" t="str">
        <f ca="1">IF(ISERROR($S1103),"",OFFSET('Smelter Reference List'!$I$4,$S1103-4,0))</f>
        <v/>
      </c>
      <c r="K1103" s="295"/>
      <c r="L1103" s="295"/>
      <c r="M1103" s="295"/>
      <c r="N1103" s="295"/>
      <c r="O1103" s="295"/>
      <c r="P1103" s="295"/>
      <c r="Q1103" s="296"/>
      <c r="R1103" s="227"/>
      <c r="S1103" s="228" t="e">
        <f>IF(C1103="",NA(),MATCH($B1103&amp;$C1103,'Smelter Reference List'!$J:$J,0))</f>
        <v>#N/A</v>
      </c>
      <c r="T1103" s="229"/>
      <c r="U1103" s="229">
        <f t="shared" ca="1" si="36"/>
        <v>0</v>
      </c>
      <c r="V1103" s="229"/>
      <c r="W1103" s="229"/>
      <c r="Y1103" s="223" t="str">
        <f t="shared" si="37"/>
        <v/>
      </c>
    </row>
    <row r="1104" spans="1:25" s="223" customFormat="1" ht="20.25">
      <c r="A1104" s="291"/>
      <c r="B1104" s="292" t="str">
        <f>IF(LEN(A1104)=0,"",INDEX('Smelter Reference List'!$A:$A,MATCH($A1104,'Smelter Reference List'!$E:$E,0)))</f>
        <v/>
      </c>
      <c r="C1104" s="298" t="str">
        <f>IF(LEN(A1104)=0,"",INDEX('Smelter Reference List'!$C:$C,MATCH($A1104,'Smelter Reference List'!$E:$E,0)))</f>
        <v/>
      </c>
      <c r="D1104" s="292" t="str">
        <f ca="1">IF(ISERROR($S1104),"",OFFSET('Smelter Reference List'!$C$4,$S1104-4,0)&amp;"")</f>
        <v/>
      </c>
      <c r="E1104" s="292" t="str">
        <f ca="1">IF(ISERROR($S1104),"",OFFSET('Smelter Reference List'!$D$4,$S1104-4,0)&amp;"")</f>
        <v/>
      </c>
      <c r="F1104" s="292" t="str">
        <f ca="1">IF(ISERROR($S1104),"",OFFSET('Smelter Reference List'!$E$4,$S1104-4,0))</f>
        <v/>
      </c>
      <c r="G1104" s="292" t="str">
        <f ca="1">IF(C1104=$U$4,"Enter smelter details", IF(ISERROR($S1104),"",OFFSET('Smelter Reference List'!$F$4,$S1104-4,0)))</f>
        <v/>
      </c>
      <c r="H1104" s="293" t="str">
        <f ca="1">IF(ISERROR($S1104),"",OFFSET('Smelter Reference List'!$G$4,$S1104-4,0))</f>
        <v/>
      </c>
      <c r="I1104" s="294" t="str">
        <f ca="1">IF(ISERROR($S1104),"",OFFSET('Smelter Reference List'!$H$4,$S1104-4,0))</f>
        <v/>
      </c>
      <c r="J1104" s="294" t="str">
        <f ca="1">IF(ISERROR($S1104),"",OFFSET('Smelter Reference List'!$I$4,$S1104-4,0))</f>
        <v/>
      </c>
      <c r="K1104" s="295"/>
      <c r="L1104" s="295"/>
      <c r="M1104" s="295"/>
      <c r="N1104" s="295"/>
      <c r="O1104" s="295"/>
      <c r="P1104" s="295"/>
      <c r="Q1104" s="296"/>
      <c r="R1104" s="227"/>
      <c r="S1104" s="228" t="e">
        <f>IF(C1104="",NA(),MATCH($B1104&amp;$C1104,'Smelter Reference List'!$J:$J,0))</f>
        <v>#N/A</v>
      </c>
      <c r="T1104" s="229"/>
      <c r="U1104" s="229">
        <f t="shared" ca="1" si="36"/>
        <v>0</v>
      </c>
      <c r="V1104" s="229"/>
      <c r="W1104" s="229"/>
      <c r="Y1104" s="223" t="str">
        <f t="shared" si="37"/>
        <v/>
      </c>
    </row>
    <row r="1105" spans="1:25" s="223" customFormat="1" ht="20.25">
      <c r="A1105" s="291"/>
      <c r="B1105" s="292" t="str">
        <f>IF(LEN(A1105)=0,"",INDEX('Smelter Reference List'!$A:$A,MATCH($A1105,'Smelter Reference List'!$E:$E,0)))</f>
        <v/>
      </c>
      <c r="C1105" s="298" t="str">
        <f>IF(LEN(A1105)=0,"",INDEX('Smelter Reference List'!$C:$C,MATCH($A1105,'Smelter Reference List'!$E:$E,0)))</f>
        <v/>
      </c>
      <c r="D1105" s="292" t="str">
        <f ca="1">IF(ISERROR($S1105),"",OFFSET('Smelter Reference List'!$C$4,$S1105-4,0)&amp;"")</f>
        <v/>
      </c>
      <c r="E1105" s="292" t="str">
        <f ca="1">IF(ISERROR($S1105),"",OFFSET('Smelter Reference List'!$D$4,$S1105-4,0)&amp;"")</f>
        <v/>
      </c>
      <c r="F1105" s="292" t="str">
        <f ca="1">IF(ISERROR($S1105),"",OFFSET('Smelter Reference List'!$E$4,$S1105-4,0))</f>
        <v/>
      </c>
      <c r="G1105" s="292" t="str">
        <f ca="1">IF(C1105=$U$4,"Enter smelter details", IF(ISERROR($S1105),"",OFFSET('Smelter Reference List'!$F$4,$S1105-4,0)))</f>
        <v/>
      </c>
      <c r="H1105" s="293" t="str">
        <f ca="1">IF(ISERROR($S1105),"",OFFSET('Smelter Reference List'!$G$4,$S1105-4,0))</f>
        <v/>
      </c>
      <c r="I1105" s="294" t="str">
        <f ca="1">IF(ISERROR($S1105),"",OFFSET('Smelter Reference List'!$H$4,$S1105-4,0))</f>
        <v/>
      </c>
      <c r="J1105" s="294" t="str">
        <f ca="1">IF(ISERROR($S1105),"",OFFSET('Smelter Reference List'!$I$4,$S1105-4,0))</f>
        <v/>
      </c>
      <c r="K1105" s="295"/>
      <c r="L1105" s="295"/>
      <c r="M1105" s="295"/>
      <c r="N1105" s="295"/>
      <c r="O1105" s="295"/>
      <c r="P1105" s="295"/>
      <c r="Q1105" s="296"/>
      <c r="R1105" s="227"/>
      <c r="S1105" s="228" t="e">
        <f>IF(C1105="",NA(),MATCH($B1105&amp;$C1105,'Smelter Reference List'!$J:$J,0))</f>
        <v>#N/A</v>
      </c>
      <c r="T1105" s="229"/>
      <c r="U1105" s="229">
        <f t="shared" ca="1" si="36"/>
        <v>0</v>
      </c>
      <c r="V1105" s="229"/>
      <c r="W1105" s="229"/>
      <c r="Y1105" s="223" t="str">
        <f t="shared" si="37"/>
        <v/>
      </c>
    </row>
    <row r="1106" spans="1:25" s="223" customFormat="1" ht="20.25">
      <c r="A1106" s="291"/>
      <c r="B1106" s="292" t="str">
        <f>IF(LEN(A1106)=0,"",INDEX('Smelter Reference List'!$A:$A,MATCH($A1106,'Smelter Reference List'!$E:$E,0)))</f>
        <v/>
      </c>
      <c r="C1106" s="298" t="str">
        <f>IF(LEN(A1106)=0,"",INDEX('Smelter Reference List'!$C:$C,MATCH($A1106,'Smelter Reference List'!$E:$E,0)))</f>
        <v/>
      </c>
      <c r="D1106" s="292" t="str">
        <f ca="1">IF(ISERROR($S1106),"",OFFSET('Smelter Reference List'!$C$4,$S1106-4,0)&amp;"")</f>
        <v/>
      </c>
      <c r="E1106" s="292" t="str">
        <f ca="1">IF(ISERROR($S1106),"",OFFSET('Smelter Reference List'!$D$4,$S1106-4,0)&amp;"")</f>
        <v/>
      </c>
      <c r="F1106" s="292" t="str">
        <f ca="1">IF(ISERROR($S1106),"",OFFSET('Smelter Reference List'!$E$4,$S1106-4,0))</f>
        <v/>
      </c>
      <c r="G1106" s="292" t="str">
        <f ca="1">IF(C1106=$U$4,"Enter smelter details", IF(ISERROR($S1106),"",OFFSET('Smelter Reference List'!$F$4,$S1106-4,0)))</f>
        <v/>
      </c>
      <c r="H1106" s="293" t="str">
        <f ca="1">IF(ISERROR($S1106),"",OFFSET('Smelter Reference List'!$G$4,$S1106-4,0))</f>
        <v/>
      </c>
      <c r="I1106" s="294" t="str">
        <f ca="1">IF(ISERROR($S1106),"",OFFSET('Smelter Reference List'!$H$4,$S1106-4,0))</f>
        <v/>
      </c>
      <c r="J1106" s="294" t="str">
        <f ca="1">IF(ISERROR($S1106),"",OFFSET('Smelter Reference List'!$I$4,$S1106-4,0))</f>
        <v/>
      </c>
      <c r="K1106" s="295"/>
      <c r="L1106" s="295"/>
      <c r="M1106" s="295"/>
      <c r="N1106" s="295"/>
      <c r="O1106" s="295"/>
      <c r="P1106" s="295"/>
      <c r="Q1106" s="296"/>
      <c r="R1106" s="227"/>
      <c r="S1106" s="228" t="e">
        <f>IF(C1106="",NA(),MATCH($B1106&amp;$C1106,'Smelter Reference List'!$J:$J,0))</f>
        <v>#N/A</v>
      </c>
      <c r="T1106" s="229"/>
      <c r="U1106" s="229">
        <f t="shared" ca="1" si="36"/>
        <v>0</v>
      </c>
      <c r="V1106" s="229"/>
      <c r="W1106" s="229"/>
      <c r="Y1106" s="223" t="str">
        <f t="shared" si="37"/>
        <v/>
      </c>
    </row>
    <row r="1107" spans="1:25" s="223" customFormat="1" ht="20.25">
      <c r="A1107" s="291"/>
      <c r="B1107" s="292" t="str">
        <f>IF(LEN(A1107)=0,"",INDEX('Smelter Reference List'!$A:$A,MATCH($A1107,'Smelter Reference List'!$E:$E,0)))</f>
        <v/>
      </c>
      <c r="C1107" s="298" t="str">
        <f>IF(LEN(A1107)=0,"",INDEX('Smelter Reference List'!$C:$C,MATCH($A1107,'Smelter Reference List'!$E:$E,0)))</f>
        <v/>
      </c>
      <c r="D1107" s="292" t="str">
        <f ca="1">IF(ISERROR($S1107),"",OFFSET('Smelter Reference List'!$C$4,$S1107-4,0)&amp;"")</f>
        <v/>
      </c>
      <c r="E1107" s="292" t="str">
        <f ca="1">IF(ISERROR($S1107),"",OFFSET('Smelter Reference List'!$D$4,$S1107-4,0)&amp;"")</f>
        <v/>
      </c>
      <c r="F1107" s="292" t="str">
        <f ca="1">IF(ISERROR($S1107),"",OFFSET('Smelter Reference List'!$E$4,$S1107-4,0))</f>
        <v/>
      </c>
      <c r="G1107" s="292" t="str">
        <f ca="1">IF(C1107=$U$4,"Enter smelter details", IF(ISERROR($S1107),"",OFFSET('Smelter Reference List'!$F$4,$S1107-4,0)))</f>
        <v/>
      </c>
      <c r="H1107" s="293" t="str">
        <f ca="1">IF(ISERROR($S1107),"",OFFSET('Smelter Reference List'!$G$4,$S1107-4,0))</f>
        <v/>
      </c>
      <c r="I1107" s="294" t="str">
        <f ca="1">IF(ISERROR($S1107),"",OFFSET('Smelter Reference List'!$H$4,$S1107-4,0))</f>
        <v/>
      </c>
      <c r="J1107" s="294" t="str">
        <f ca="1">IF(ISERROR($S1107),"",OFFSET('Smelter Reference List'!$I$4,$S1107-4,0))</f>
        <v/>
      </c>
      <c r="K1107" s="295"/>
      <c r="L1107" s="295"/>
      <c r="M1107" s="295"/>
      <c r="N1107" s="295"/>
      <c r="O1107" s="295"/>
      <c r="P1107" s="295"/>
      <c r="Q1107" s="296"/>
      <c r="R1107" s="227"/>
      <c r="S1107" s="228" t="e">
        <f>IF(C1107="",NA(),MATCH($B1107&amp;$C1107,'Smelter Reference List'!$J:$J,0))</f>
        <v>#N/A</v>
      </c>
      <c r="T1107" s="229"/>
      <c r="U1107" s="229">
        <f t="shared" ca="1" si="36"/>
        <v>0</v>
      </c>
      <c r="V1107" s="229"/>
      <c r="W1107" s="229"/>
      <c r="Y1107" s="223" t="str">
        <f t="shared" si="37"/>
        <v/>
      </c>
    </row>
    <row r="1108" spans="1:25" s="223" customFormat="1" ht="20.25">
      <c r="A1108" s="291"/>
      <c r="B1108" s="292" t="str">
        <f>IF(LEN(A1108)=0,"",INDEX('Smelter Reference List'!$A:$A,MATCH($A1108,'Smelter Reference List'!$E:$E,0)))</f>
        <v/>
      </c>
      <c r="C1108" s="298" t="str">
        <f>IF(LEN(A1108)=0,"",INDEX('Smelter Reference List'!$C:$C,MATCH($A1108,'Smelter Reference List'!$E:$E,0)))</f>
        <v/>
      </c>
      <c r="D1108" s="292" t="str">
        <f ca="1">IF(ISERROR($S1108),"",OFFSET('Smelter Reference List'!$C$4,$S1108-4,0)&amp;"")</f>
        <v/>
      </c>
      <c r="E1108" s="292" t="str">
        <f ca="1">IF(ISERROR($S1108),"",OFFSET('Smelter Reference List'!$D$4,$S1108-4,0)&amp;"")</f>
        <v/>
      </c>
      <c r="F1108" s="292" t="str">
        <f ca="1">IF(ISERROR($S1108),"",OFFSET('Smelter Reference List'!$E$4,$S1108-4,0))</f>
        <v/>
      </c>
      <c r="G1108" s="292" t="str">
        <f ca="1">IF(C1108=$U$4,"Enter smelter details", IF(ISERROR($S1108),"",OFFSET('Smelter Reference List'!$F$4,$S1108-4,0)))</f>
        <v/>
      </c>
      <c r="H1108" s="293" t="str">
        <f ca="1">IF(ISERROR($S1108),"",OFFSET('Smelter Reference List'!$G$4,$S1108-4,0))</f>
        <v/>
      </c>
      <c r="I1108" s="294" t="str">
        <f ca="1">IF(ISERROR($S1108),"",OFFSET('Smelter Reference List'!$H$4,$S1108-4,0))</f>
        <v/>
      </c>
      <c r="J1108" s="294" t="str">
        <f ca="1">IF(ISERROR($S1108),"",OFFSET('Smelter Reference List'!$I$4,$S1108-4,0))</f>
        <v/>
      </c>
      <c r="K1108" s="295"/>
      <c r="L1108" s="295"/>
      <c r="M1108" s="295"/>
      <c r="N1108" s="295"/>
      <c r="O1108" s="295"/>
      <c r="P1108" s="295"/>
      <c r="Q1108" s="296"/>
      <c r="R1108" s="227"/>
      <c r="S1108" s="228" t="e">
        <f>IF(C1108="",NA(),MATCH($B1108&amp;$C1108,'Smelter Reference List'!$J:$J,0))</f>
        <v>#N/A</v>
      </c>
      <c r="T1108" s="229"/>
      <c r="U1108" s="229">
        <f t="shared" ca="1" si="36"/>
        <v>0</v>
      </c>
      <c r="V1108" s="229"/>
      <c r="W1108" s="229"/>
      <c r="Y1108" s="223" t="str">
        <f t="shared" si="37"/>
        <v/>
      </c>
    </row>
    <row r="1109" spans="1:25" s="223" customFormat="1" ht="20.25">
      <c r="A1109" s="291"/>
      <c r="B1109" s="292" t="str">
        <f>IF(LEN(A1109)=0,"",INDEX('Smelter Reference List'!$A:$A,MATCH($A1109,'Smelter Reference List'!$E:$E,0)))</f>
        <v/>
      </c>
      <c r="C1109" s="298" t="str">
        <f>IF(LEN(A1109)=0,"",INDEX('Smelter Reference List'!$C:$C,MATCH($A1109,'Smelter Reference List'!$E:$E,0)))</f>
        <v/>
      </c>
      <c r="D1109" s="292" t="str">
        <f ca="1">IF(ISERROR($S1109),"",OFFSET('Smelter Reference List'!$C$4,$S1109-4,0)&amp;"")</f>
        <v/>
      </c>
      <c r="E1109" s="292" t="str">
        <f ca="1">IF(ISERROR($S1109),"",OFFSET('Smelter Reference List'!$D$4,$S1109-4,0)&amp;"")</f>
        <v/>
      </c>
      <c r="F1109" s="292" t="str">
        <f ca="1">IF(ISERROR($S1109),"",OFFSET('Smelter Reference List'!$E$4,$S1109-4,0))</f>
        <v/>
      </c>
      <c r="G1109" s="292" t="str">
        <f ca="1">IF(C1109=$U$4,"Enter smelter details", IF(ISERROR($S1109),"",OFFSET('Smelter Reference List'!$F$4,$S1109-4,0)))</f>
        <v/>
      </c>
      <c r="H1109" s="293" t="str">
        <f ca="1">IF(ISERROR($S1109),"",OFFSET('Smelter Reference List'!$G$4,$S1109-4,0))</f>
        <v/>
      </c>
      <c r="I1109" s="294" t="str">
        <f ca="1">IF(ISERROR($S1109),"",OFFSET('Smelter Reference List'!$H$4,$S1109-4,0))</f>
        <v/>
      </c>
      <c r="J1109" s="294" t="str">
        <f ca="1">IF(ISERROR($S1109),"",OFFSET('Smelter Reference List'!$I$4,$S1109-4,0))</f>
        <v/>
      </c>
      <c r="K1109" s="295"/>
      <c r="L1109" s="295"/>
      <c r="M1109" s="295"/>
      <c r="N1109" s="295"/>
      <c r="O1109" s="295"/>
      <c r="P1109" s="295"/>
      <c r="Q1109" s="296"/>
      <c r="R1109" s="227"/>
      <c r="S1109" s="228" t="e">
        <f>IF(C1109="",NA(),MATCH($B1109&amp;$C1109,'Smelter Reference List'!$J:$J,0))</f>
        <v>#N/A</v>
      </c>
      <c r="T1109" s="229"/>
      <c r="U1109" s="229">
        <f t="shared" ca="1" si="36"/>
        <v>0</v>
      </c>
      <c r="V1109" s="229"/>
      <c r="W1109" s="229"/>
      <c r="Y1109" s="223" t="str">
        <f t="shared" si="37"/>
        <v/>
      </c>
    </row>
    <row r="1110" spans="1:25" s="223" customFormat="1" ht="20.25">
      <c r="A1110" s="291"/>
      <c r="B1110" s="292" t="str">
        <f>IF(LEN(A1110)=0,"",INDEX('Smelter Reference List'!$A:$A,MATCH($A1110,'Smelter Reference List'!$E:$E,0)))</f>
        <v/>
      </c>
      <c r="C1110" s="298" t="str">
        <f>IF(LEN(A1110)=0,"",INDEX('Smelter Reference List'!$C:$C,MATCH($A1110,'Smelter Reference List'!$E:$E,0)))</f>
        <v/>
      </c>
      <c r="D1110" s="292" t="str">
        <f ca="1">IF(ISERROR($S1110),"",OFFSET('Smelter Reference List'!$C$4,$S1110-4,0)&amp;"")</f>
        <v/>
      </c>
      <c r="E1110" s="292" t="str">
        <f ca="1">IF(ISERROR($S1110),"",OFFSET('Smelter Reference List'!$D$4,$S1110-4,0)&amp;"")</f>
        <v/>
      </c>
      <c r="F1110" s="292" t="str">
        <f ca="1">IF(ISERROR($S1110),"",OFFSET('Smelter Reference List'!$E$4,$S1110-4,0))</f>
        <v/>
      </c>
      <c r="G1110" s="292" t="str">
        <f ca="1">IF(C1110=$U$4,"Enter smelter details", IF(ISERROR($S1110),"",OFFSET('Smelter Reference List'!$F$4,$S1110-4,0)))</f>
        <v/>
      </c>
      <c r="H1110" s="293" t="str">
        <f ca="1">IF(ISERROR($S1110),"",OFFSET('Smelter Reference List'!$G$4,$S1110-4,0))</f>
        <v/>
      </c>
      <c r="I1110" s="294" t="str">
        <f ca="1">IF(ISERROR($S1110),"",OFFSET('Smelter Reference List'!$H$4,$S1110-4,0))</f>
        <v/>
      </c>
      <c r="J1110" s="294" t="str">
        <f ca="1">IF(ISERROR($S1110),"",OFFSET('Smelter Reference List'!$I$4,$S1110-4,0))</f>
        <v/>
      </c>
      <c r="K1110" s="295"/>
      <c r="L1110" s="295"/>
      <c r="M1110" s="295"/>
      <c r="N1110" s="295"/>
      <c r="O1110" s="295"/>
      <c r="P1110" s="295"/>
      <c r="Q1110" s="296"/>
      <c r="R1110" s="227"/>
      <c r="S1110" s="228" t="e">
        <f>IF(C1110="",NA(),MATCH($B1110&amp;$C1110,'Smelter Reference List'!$J:$J,0))</f>
        <v>#N/A</v>
      </c>
      <c r="T1110" s="229"/>
      <c r="U1110" s="229">
        <f t="shared" ca="1" si="36"/>
        <v>0</v>
      </c>
      <c r="V1110" s="229"/>
      <c r="W1110" s="229"/>
      <c r="Y1110" s="223" t="str">
        <f t="shared" si="37"/>
        <v/>
      </c>
    </row>
    <row r="1111" spans="1:25" s="223" customFormat="1" ht="20.25">
      <c r="A1111" s="291"/>
      <c r="B1111" s="292" t="str">
        <f>IF(LEN(A1111)=0,"",INDEX('Smelter Reference List'!$A:$A,MATCH($A1111,'Smelter Reference List'!$E:$E,0)))</f>
        <v/>
      </c>
      <c r="C1111" s="298" t="str">
        <f>IF(LEN(A1111)=0,"",INDEX('Smelter Reference List'!$C:$C,MATCH($A1111,'Smelter Reference List'!$E:$E,0)))</f>
        <v/>
      </c>
      <c r="D1111" s="292" t="str">
        <f ca="1">IF(ISERROR($S1111),"",OFFSET('Smelter Reference List'!$C$4,$S1111-4,0)&amp;"")</f>
        <v/>
      </c>
      <c r="E1111" s="292" t="str">
        <f ca="1">IF(ISERROR($S1111),"",OFFSET('Smelter Reference List'!$D$4,$S1111-4,0)&amp;"")</f>
        <v/>
      </c>
      <c r="F1111" s="292" t="str">
        <f ca="1">IF(ISERROR($S1111),"",OFFSET('Smelter Reference List'!$E$4,$S1111-4,0))</f>
        <v/>
      </c>
      <c r="G1111" s="292" t="str">
        <f ca="1">IF(C1111=$U$4,"Enter smelter details", IF(ISERROR($S1111),"",OFFSET('Smelter Reference List'!$F$4,$S1111-4,0)))</f>
        <v/>
      </c>
      <c r="H1111" s="293" t="str">
        <f ca="1">IF(ISERROR($S1111),"",OFFSET('Smelter Reference List'!$G$4,$S1111-4,0))</f>
        <v/>
      </c>
      <c r="I1111" s="294" t="str">
        <f ca="1">IF(ISERROR($S1111),"",OFFSET('Smelter Reference List'!$H$4,$S1111-4,0))</f>
        <v/>
      </c>
      <c r="J1111" s="294" t="str">
        <f ca="1">IF(ISERROR($S1111),"",OFFSET('Smelter Reference List'!$I$4,$S1111-4,0))</f>
        <v/>
      </c>
      <c r="K1111" s="295"/>
      <c r="L1111" s="295"/>
      <c r="M1111" s="295"/>
      <c r="N1111" s="295"/>
      <c r="O1111" s="295"/>
      <c r="P1111" s="295"/>
      <c r="Q1111" s="296"/>
      <c r="R1111" s="227"/>
      <c r="S1111" s="228" t="e">
        <f>IF(C1111="",NA(),MATCH($B1111&amp;$C1111,'Smelter Reference List'!$J:$J,0))</f>
        <v>#N/A</v>
      </c>
      <c r="T1111" s="229"/>
      <c r="U1111" s="229">
        <f t="shared" ca="1" si="36"/>
        <v>0</v>
      </c>
      <c r="V1111" s="229"/>
      <c r="W1111" s="229"/>
      <c r="Y1111" s="223" t="str">
        <f t="shared" si="37"/>
        <v/>
      </c>
    </row>
    <row r="1112" spans="1:25" s="223" customFormat="1" ht="20.25">
      <c r="A1112" s="291"/>
      <c r="B1112" s="292" t="str">
        <f>IF(LEN(A1112)=0,"",INDEX('Smelter Reference List'!$A:$A,MATCH($A1112,'Smelter Reference List'!$E:$E,0)))</f>
        <v/>
      </c>
      <c r="C1112" s="298" t="str">
        <f>IF(LEN(A1112)=0,"",INDEX('Smelter Reference List'!$C:$C,MATCH($A1112,'Smelter Reference List'!$E:$E,0)))</f>
        <v/>
      </c>
      <c r="D1112" s="292" t="str">
        <f ca="1">IF(ISERROR($S1112),"",OFFSET('Smelter Reference List'!$C$4,$S1112-4,0)&amp;"")</f>
        <v/>
      </c>
      <c r="E1112" s="292" t="str">
        <f ca="1">IF(ISERROR($S1112),"",OFFSET('Smelter Reference List'!$D$4,$S1112-4,0)&amp;"")</f>
        <v/>
      </c>
      <c r="F1112" s="292" t="str">
        <f ca="1">IF(ISERROR($S1112),"",OFFSET('Smelter Reference List'!$E$4,$S1112-4,0))</f>
        <v/>
      </c>
      <c r="G1112" s="292" t="str">
        <f ca="1">IF(C1112=$U$4,"Enter smelter details", IF(ISERROR($S1112),"",OFFSET('Smelter Reference List'!$F$4,$S1112-4,0)))</f>
        <v/>
      </c>
      <c r="H1112" s="293" t="str">
        <f ca="1">IF(ISERROR($S1112),"",OFFSET('Smelter Reference List'!$G$4,$S1112-4,0))</f>
        <v/>
      </c>
      <c r="I1112" s="294" t="str">
        <f ca="1">IF(ISERROR($S1112),"",OFFSET('Smelter Reference List'!$H$4,$S1112-4,0))</f>
        <v/>
      </c>
      <c r="J1112" s="294" t="str">
        <f ca="1">IF(ISERROR($S1112),"",OFFSET('Smelter Reference List'!$I$4,$S1112-4,0))</f>
        <v/>
      </c>
      <c r="K1112" s="295"/>
      <c r="L1112" s="295"/>
      <c r="M1112" s="295"/>
      <c r="N1112" s="295"/>
      <c r="O1112" s="295"/>
      <c r="P1112" s="295"/>
      <c r="Q1112" s="296"/>
      <c r="R1112" s="227"/>
      <c r="S1112" s="228" t="e">
        <f>IF(C1112="",NA(),MATCH($B1112&amp;$C1112,'Smelter Reference List'!$J:$J,0))</f>
        <v>#N/A</v>
      </c>
      <c r="T1112" s="229"/>
      <c r="U1112" s="229">
        <f t="shared" ca="1" si="36"/>
        <v>0</v>
      </c>
      <c r="V1112" s="229"/>
      <c r="W1112" s="229"/>
      <c r="Y1112" s="223" t="str">
        <f t="shared" si="37"/>
        <v/>
      </c>
    </row>
    <row r="1113" spans="1:25" s="223" customFormat="1" ht="20.25">
      <c r="A1113" s="291"/>
      <c r="B1113" s="292" t="str">
        <f>IF(LEN(A1113)=0,"",INDEX('Smelter Reference List'!$A:$A,MATCH($A1113,'Smelter Reference List'!$E:$E,0)))</f>
        <v/>
      </c>
      <c r="C1113" s="298" t="str">
        <f>IF(LEN(A1113)=0,"",INDEX('Smelter Reference List'!$C:$C,MATCH($A1113,'Smelter Reference List'!$E:$E,0)))</f>
        <v/>
      </c>
      <c r="D1113" s="292" t="str">
        <f ca="1">IF(ISERROR($S1113),"",OFFSET('Smelter Reference List'!$C$4,$S1113-4,0)&amp;"")</f>
        <v/>
      </c>
      <c r="E1113" s="292" t="str">
        <f ca="1">IF(ISERROR($S1113),"",OFFSET('Smelter Reference List'!$D$4,$S1113-4,0)&amp;"")</f>
        <v/>
      </c>
      <c r="F1113" s="292" t="str">
        <f ca="1">IF(ISERROR($S1113),"",OFFSET('Smelter Reference List'!$E$4,$S1113-4,0))</f>
        <v/>
      </c>
      <c r="G1113" s="292" t="str">
        <f ca="1">IF(C1113=$U$4,"Enter smelter details", IF(ISERROR($S1113),"",OFFSET('Smelter Reference List'!$F$4,$S1113-4,0)))</f>
        <v/>
      </c>
      <c r="H1113" s="293" t="str">
        <f ca="1">IF(ISERROR($S1113),"",OFFSET('Smelter Reference List'!$G$4,$S1113-4,0))</f>
        <v/>
      </c>
      <c r="I1113" s="294" t="str">
        <f ca="1">IF(ISERROR($S1113),"",OFFSET('Smelter Reference List'!$H$4,$S1113-4,0))</f>
        <v/>
      </c>
      <c r="J1113" s="294" t="str">
        <f ca="1">IF(ISERROR($S1113),"",OFFSET('Smelter Reference List'!$I$4,$S1113-4,0))</f>
        <v/>
      </c>
      <c r="K1113" s="295"/>
      <c r="L1113" s="295"/>
      <c r="M1113" s="295"/>
      <c r="N1113" s="295"/>
      <c r="O1113" s="295"/>
      <c r="P1113" s="295"/>
      <c r="Q1113" s="296"/>
      <c r="R1113" s="227"/>
      <c r="S1113" s="228" t="e">
        <f>IF(C1113="",NA(),MATCH($B1113&amp;$C1113,'Smelter Reference List'!$J:$J,0))</f>
        <v>#N/A</v>
      </c>
      <c r="T1113" s="229"/>
      <c r="U1113" s="229">
        <f t="shared" ca="1" si="36"/>
        <v>0</v>
      </c>
      <c r="V1113" s="229"/>
      <c r="W1113" s="229"/>
      <c r="Y1113" s="223" t="str">
        <f t="shared" si="37"/>
        <v/>
      </c>
    </row>
    <row r="1114" spans="1:25" s="223" customFormat="1" ht="20.25">
      <c r="A1114" s="291"/>
      <c r="B1114" s="292" t="str">
        <f>IF(LEN(A1114)=0,"",INDEX('Smelter Reference List'!$A:$A,MATCH($A1114,'Smelter Reference List'!$E:$E,0)))</f>
        <v/>
      </c>
      <c r="C1114" s="298" t="str">
        <f>IF(LEN(A1114)=0,"",INDEX('Smelter Reference List'!$C:$C,MATCH($A1114,'Smelter Reference List'!$E:$E,0)))</f>
        <v/>
      </c>
      <c r="D1114" s="292" t="str">
        <f ca="1">IF(ISERROR($S1114),"",OFFSET('Smelter Reference List'!$C$4,$S1114-4,0)&amp;"")</f>
        <v/>
      </c>
      <c r="E1114" s="292" t="str">
        <f ca="1">IF(ISERROR($S1114),"",OFFSET('Smelter Reference List'!$D$4,$S1114-4,0)&amp;"")</f>
        <v/>
      </c>
      <c r="F1114" s="292" t="str">
        <f ca="1">IF(ISERROR($S1114),"",OFFSET('Smelter Reference List'!$E$4,$S1114-4,0))</f>
        <v/>
      </c>
      <c r="G1114" s="292" t="str">
        <f ca="1">IF(C1114=$U$4,"Enter smelter details", IF(ISERROR($S1114),"",OFFSET('Smelter Reference List'!$F$4,$S1114-4,0)))</f>
        <v/>
      </c>
      <c r="H1114" s="293" t="str">
        <f ca="1">IF(ISERROR($S1114),"",OFFSET('Smelter Reference List'!$G$4,$S1114-4,0))</f>
        <v/>
      </c>
      <c r="I1114" s="294" t="str">
        <f ca="1">IF(ISERROR($S1114),"",OFFSET('Smelter Reference List'!$H$4,$S1114-4,0))</f>
        <v/>
      </c>
      <c r="J1114" s="294" t="str">
        <f ca="1">IF(ISERROR($S1114),"",OFFSET('Smelter Reference List'!$I$4,$S1114-4,0))</f>
        <v/>
      </c>
      <c r="K1114" s="295"/>
      <c r="L1114" s="295"/>
      <c r="M1114" s="295"/>
      <c r="N1114" s="295"/>
      <c r="O1114" s="295"/>
      <c r="P1114" s="295"/>
      <c r="Q1114" s="296"/>
      <c r="R1114" s="227"/>
      <c r="S1114" s="228" t="e">
        <f>IF(C1114="",NA(),MATCH($B1114&amp;$C1114,'Smelter Reference List'!$J:$J,0))</f>
        <v>#N/A</v>
      </c>
      <c r="T1114" s="229"/>
      <c r="U1114" s="229">
        <f t="shared" ca="1" si="36"/>
        <v>0</v>
      </c>
      <c r="V1114" s="229"/>
      <c r="W1114" s="229"/>
      <c r="Y1114" s="223" t="str">
        <f t="shared" si="37"/>
        <v/>
      </c>
    </row>
    <row r="1115" spans="1:25" s="223" customFormat="1" ht="20.25">
      <c r="A1115" s="291"/>
      <c r="B1115" s="292" t="str">
        <f>IF(LEN(A1115)=0,"",INDEX('Smelter Reference List'!$A:$A,MATCH($A1115,'Smelter Reference List'!$E:$E,0)))</f>
        <v/>
      </c>
      <c r="C1115" s="298" t="str">
        <f>IF(LEN(A1115)=0,"",INDEX('Smelter Reference List'!$C:$C,MATCH($A1115,'Smelter Reference List'!$E:$E,0)))</f>
        <v/>
      </c>
      <c r="D1115" s="292" t="str">
        <f ca="1">IF(ISERROR($S1115),"",OFFSET('Smelter Reference List'!$C$4,$S1115-4,0)&amp;"")</f>
        <v/>
      </c>
      <c r="E1115" s="292" t="str">
        <f ca="1">IF(ISERROR($S1115),"",OFFSET('Smelter Reference List'!$D$4,$S1115-4,0)&amp;"")</f>
        <v/>
      </c>
      <c r="F1115" s="292" t="str">
        <f ca="1">IF(ISERROR($S1115),"",OFFSET('Smelter Reference List'!$E$4,$S1115-4,0))</f>
        <v/>
      </c>
      <c r="G1115" s="292" t="str">
        <f ca="1">IF(C1115=$U$4,"Enter smelter details", IF(ISERROR($S1115),"",OFFSET('Smelter Reference List'!$F$4,$S1115-4,0)))</f>
        <v/>
      </c>
      <c r="H1115" s="293" t="str">
        <f ca="1">IF(ISERROR($S1115),"",OFFSET('Smelter Reference List'!$G$4,$S1115-4,0))</f>
        <v/>
      </c>
      <c r="I1115" s="294" t="str">
        <f ca="1">IF(ISERROR($S1115),"",OFFSET('Smelter Reference List'!$H$4,$S1115-4,0))</f>
        <v/>
      </c>
      <c r="J1115" s="294" t="str">
        <f ca="1">IF(ISERROR($S1115),"",OFFSET('Smelter Reference List'!$I$4,$S1115-4,0))</f>
        <v/>
      </c>
      <c r="K1115" s="295"/>
      <c r="L1115" s="295"/>
      <c r="M1115" s="295"/>
      <c r="N1115" s="295"/>
      <c r="O1115" s="295"/>
      <c r="P1115" s="295"/>
      <c r="Q1115" s="296"/>
      <c r="R1115" s="227"/>
      <c r="S1115" s="228" t="e">
        <f>IF(C1115="",NA(),MATCH($B1115&amp;$C1115,'Smelter Reference List'!$J:$J,0))</f>
        <v>#N/A</v>
      </c>
      <c r="T1115" s="229"/>
      <c r="U1115" s="229">
        <f t="shared" ca="1" si="36"/>
        <v>0</v>
      </c>
      <c r="V1115" s="229"/>
      <c r="W1115" s="229"/>
      <c r="Y1115" s="223" t="str">
        <f t="shared" si="37"/>
        <v/>
      </c>
    </row>
    <row r="1116" spans="1:25" s="223" customFormat="1" ht="20.25">
      <c r="A1116" s="291"/>
      <c r="B1116" s="292" t="str">
        <f>IF(LEN(A1116)=0,"",INDEX('Smelter Reference List'!$A:$A,MATCH($A1116,'Smelter Reference List'!$E:$E,0)))</f>
        <v/>
      </c>
      <c r="C1116" s="298" t="str">
        <f>IF(LEN(A1116)=0,"",INDEX('Smelter Reference List'!$C:$C,MATCH($A1116,'Smelter Reference List'!$E:$E,0)))</f>
        <v/>
      </c>
      <c r="D1116" s="292" t="str">
        <f ca="1">IF(ISERROR($S1116),"",OFFSET('Smelter Reference List'!$C$4,$S1116-4,0)&amp;"")</f>
        <v/>
      </c>
      <c r="E1116" s="292" t="str">
        <f ca="1">IF(ISERROR($S1116),"",OFFSET('Smelter Reference List'!$D$4,$S1116-4,0)&amp;"")</f>
        <v/>
      </c>
      <c r="F1116" s="292" t="str">
        <f ca="1">IF(ISERROR($S1116),"",OFFSET('Smelter Reference List'!$E$4,$S1116-4,0))</f>
        <v/>
      </c>
      <c r="G1116" s="292" t="str">
        <f ca="1">IF(C1116=$U$4,"Enter smelter details", IF(ISERROR($S1116),"",OFFSET('Smelter Reference List'!$F$4,$S1116-4,0)))</f>
        <v/>
      </c>
      <c r="H1116" s="293" t="str">
        <f ca="1">IF(ISERROR($S1116),"",OFFSET('Smelter Reference List'!$G$4,$S1116-4,0))</f>
        <v/>
      </c>
      <c r="I1116" s="294" t="str">
        <f ca="1">IF(ISERROR($S1116),"",OFFSET('Smelter Reference List'!$H$4,$S1116-4,0))</f>
        <v/>
      </c>
      <c r="J1116" s="294" t="str">
        <f ca="1">IF(ISERROR($S1116),"",OFFSET('Smelter Reference List'!$I$4,$S1116-4,0))</f>
        <v/>
      </c>
      <c r="K1116" s="295"/>
      <c r="L1116" s="295"/>
      <c r="M1116" s="295"/>
      <c r="N1116" s="295"/>
      <c r="O1116" s="295"/>
      <c r="P1116" s="295"/>
      <c r="Q1116" s="296"/>
      <c r="R1116" s="227"/>
      <c r="S1116" s="228" t="e">
        <f>IF(C1116="",NA(),MATCH($B1116&amp;$C1116,'Smelter Reference List'!$J:$J,0))</f>
        <v>#N/A</v>
      </c>
      <c r="T1116" s="229"/>
      <c r="U1116" s="229">
        <f t="shared" ca="1" si="36"/>
        <v>0</v>
      </c>
      <c r="V1116" s="229"/>
      <c r="W1116" s="229"/>
      <c r="Y1116" s="223" t="str">
        <f t="shared" si="37"/>
        <v/>
      </c>
    </row>
    <row r="1117" spans="1:25" s="223" customFormat="1" ht="20.25">
      <c r="A1117" s="291"/>
      <c r="B1117" s="292" t="str">
        <f>IF(LEN(A1117)=0,"",INDEX('Smelter Reference List'!$A:$A,MATCH($A1117,'Smelter Reference List'!$E:$E,0)))</f>
        <v/>
      </c>
      <c r="C1117" s="298" t="str">
        <f>IF(LEN(A1117)=0,"",INDEX('Smelter Reference List'!$C:$C,MATCH($A1117,'Smelter Reference List'!$E:$E,0)))</f>
        <v/>
      </c>
      <c r="D1117" s="292" t="str">
        <f ca="1">IF(ISERROR($S1117),"",OFFSET('Smelter Reference List'!$C$4,$S1117-4,0)&amp;"")</f>
        <v/>
      </c>
      <c r="E1117" s="292" t="str">
        <f ca="1">IF(ISERROR($S1117),"",OFFSET('Smelter Reference List'!$D$4,$S1117-4,0)&amp;"")</f>
        <v/>
      </c>
      <c r="F1117" s="292" t="str">
        <f ca="1">IF(ISERROR($S1117),"",OFFSET('Smelter Reference List'!$E$4,$S1117-4,0))</f>
        <v/>
      </c>
      <c r="G1117" s="292" t="str">
        <f ca="1">IF(C1117=$U$4,"Enter smelter details", IF(ISERROR($S1117),"",OFFSET('Smelter Reference List'!$F$4,$S1117-4,0)))</f>
        <v/>
      </c>
      <c r="H1117" s="293" t="str">
        <f ca="1">IF(ISERROR($S1117),"",OFFSET('Smelter Reference List'!$G$4,$S1117-4,0))</f>
        <v/>
      </c>
      <c r="I1117" s="294" t="str">
        <f ca="1">IF(ISERROR($S1117),"",OFFSET('Smelter Reference List'!$H$4,$S1117-4,0))</f>
        <v/>
      </c>
      <c r="J1117" s="294" t="str">
        <f ca="1">IF(ISERROR($S1117),"",OFFSET('Smelter Reference List'!$I$4,$S1117-4,0))</f>
        <v/>
      </c>
      <c r="K1117" s="295"/>
      <c r="L1117" s="295"/>
      <c r="M1117" s="295"/>
      <c r="N1117" s="295"/>
      <c r="O1117" s="295"/>
      <c r="P1117" s="295"/>
      <c r="Q1117" s="296"/>
      <c r="R1117" s="227"/>
      <c r="S1117" s="228" t="e">
        <f>IF(C1117="",NA(),MATCH($B1117&amp;$C1117,'Smelter Reference List'!$J:$J,0))</f>
        <v>#N/A</v>
      </c>
      <c r="T1117" s="229"/>
      <c r="U1117" s="229">
        <f t="shared" ca="1" si="36"/>
        <v>0</v>
      </c>
      <c r="V1117" s="229"/>
      <c r="W1117" s="229"/>
      <c r="Y1117" s="223" t="str">
        <f t="shared" si="37"/>
        <v/>
      </c>
    </row>
    <row r="1118" spans="1:25" s="223" customFormat="1" ht="20.25">
      <c r="A1118" s="291"/>
      <c r="B1118" s="292" t="str">
        <f>IF(LEN(A1118)=0,"",INDEX('Smelter Reference List'!$A:$A,MATCH($A1118,'Smelter Reference List'!$E:$E,0)))</f>
        <v/>
      </c>
      <c r="C1118" s="298" t="str">
        <f>IF(LEN(A1118)=0,"",INDEX('Smelter Reference List'!$C:$C,MATCH($A1118,'Smelter Reference List'!$E:$E,0)))</f>
        <v/>
      </c>
      <c r="D1118" s="292" t="str">
        <f ca="1">IF(ISERROR($S1118),"",OFFSET('Smelter Reference List'!$C$4,$S1118-4,0)&amp;"")</f>
        <v/>
      </c>
      <c r="E1118" s="292" t="str">
        <f ca="1">IF(ISERROR($S1118),"",OFFSET('Smelter Reference List'!$D$4,$S1118-4,0)&amp;"")</f>
        <v/>
      </c>
      <c r="F1118" s="292" t="str">
        <f ca="1">IF(ISERROR($S1118),"",OFFSET('Smelter Reference List'!$E$4,$S1118-4,0))</f>
        <v/>
      </c>
      <c r="G1118" s="292" t="str">
        <f ca="1">IF(C1118=$U$4,"Enter smelter details", IF(ISERROR($S1118),"",OFFSET('Smelter Reference List'!$F$4,$S1118-4,0)))</f>
        <v/>
      </c>
      <c r="H1118" s="293" t="str">
        <f ca="1">IF(ISERROR($S1118),"",OFFSET('Smelter Reference List'!$G$4,$S1118-4,0))</f>
        <v/>
      </c>
      <c r="I1118" s="294" t="str">
        <f ca="1">IF(ISERROR($S1118),"",OFFSET('Smelter Reference List'!$H$4,$S1118-4,0))</f>
        <v/>
      </c>
      <c r="J1118" s="294" t="str">
        <f ca="1">IF(ISERROR($S1118),"",OFFSET('Smelter Reference List'!$I$4,$S1118-4,0))</f>
        <v/>
      </c>
      <c r="K1118" s="295"/>
      <c r="L1118" s="295"/>
      <c r="M1118" s="295"/>
      <c r="N1118" s="295"/>
      <c r="O1118" s="295"/>
      <c r="P1118" s="295"/>
      <c r="Q1118" s="296"/>
      <c r="R1118" s="227"/>
      <c r="S1118" s="228" t="e">
        <f>IF(C1118="",NA(),MATCH($B1118&amp;$C1118,'Smelter Reference List'!$J:$J,0))</f>
        <v>#N/A</v>
      </c>
      <c r="T1118" s="229"/>
      <c r="U1118" s="229">
        <f t="shared" ca="1" si="36"/>
        <v>0</v>
      </c>
      <c r="V1118" s="229"/>
      <c r="W1118" s="229"/>
      <c r="Y1118" s="223" t="str">
        <f t="shared" si="37"/>
        <v/>
      </c>
    </row>
    <row r="1119" spans="1:25" s="223" customFormat="1" ht="20.25">
      <c r="A1119" s="291"/>
      <c r="B1119" s="292" t="str">
        <f>IF(LEN(A1119)=0,"",INDEX('Smelter Reference List'!$A:$A,MATCH($A1119,'Smelter Reference List'!$E:$E,0)))</f>
        <v/>
      </c>
      <c r="C1119" s="298" t="str">
        <f>IF(LEN(A1119)=0,"",INDEX('Smelter Reference List'!$C:$C,MATCH($A1119,'Smelter Reference List'!$E:$E,0)))</f>
        <v/>
      </c>
      <c r="D1119" s="292" t="str">
        <f ca="1">IF(ISERROR($S1119),"",OFFSET('Smelter Reference List'!$C$4,$S1119-4,0)&amp;"")</f>
        <v/>
      </c>
      <c r="E1119" s="292" t="str">
        <f ca="1">IF(ISERROR($S1119),"",OFFSET('Smelter Reference List'!$D$4,$S1119-4,0)&amp;"")</f>
        <v/>
      </c>
      <c r="F1119" s="292" t="str">
        <f ca="1">IF(ISERROR($S1119),"",OFFSET('Smelter Reference List'!$E$4,$S1119-4,0))</f>
        <v/>
      </c>
      <c r="G1119" s="292" t="str">
        <f ca="1">IF(C1119=$U$4,"Enter smelter details", IF(ISERROR($S1119),"",OFFSET('Smelter Reference List'!$F$4,$S1119-4,0)))</f>
        <v/>
      </c>
      <c r="H1119" s="293" t="str">
        <f ca="1">IF(ISERROR($S1119),"",OFFSET('Smelter Reference List'!$G$4,$S1119-4,0))</f>
        <v/>
      </c>
      <c r="I1119" s="294" t="str">
        <f ca="1">IF(ISERROR($S1119),"",OFFSET('Smelter Reference List'!$H$4,$S1119-4,0))</f>
        <v/>
      </c>
      <c r="J1119" s="294" t="str">
        <f ca="1">IF(ISERROR($S1119),"",OFFSET('Smelter Reference List'!$I$4,$S1119-4,0))</f>
        <v/>
      </c>
      <c r="K1119" s="295"/>
      <c r="L1119" s="295"/>
      <c r="M1119" s="295"/>
      <c r="N1119" s="295"/>
      <c r="O1119" s="295"/>
      <c r="P1119" s="295"/>
      <c r="Q1119" s="296"/>
      <c r="R1119" s="227"/>
      <c r="S1119" s="228" t="e">
        <f>IF(C1119="",NA(),MATCH($B1119&amp;$C1119,'Smelter Reference List'!$J:$J,0))</f>
        <v>#N/A</v>
      </c>
      <c r="T1119" s="229"/>
      <c r="U1119" s="229">
        <f t="shared" ca="1" si="36"/>
        <v>0</v>
      </c>
      <c r="V1119" s="229"/>
      <c r="W1119" s="229"/>
      <c r="Y1119" s="223" t="str">
        <f t="shared" si="37"/>
        <v/>
      </c>
    </row>
    <row r="1120" spans="1:25" s="223" customFormat="1" ht="20.25">
      <c r="A1120" s="291"/>
      <c r="B1120" s="292" t="str">
        <f>IF(LEN(A1120)=0,"",INDEX('Smelter Reference List'!$A:$A,MATCH($A1120,'Smelter Reference List'!$E:$E,0)))</f>
        <v/>
      </c>
      <c r="C1120" s="298" t="str">
        <f>IF(LEN(A1120)=0,"",INDEX('Smelter Reference List'!$C:$C,MATCH($A1120,'Smelter Reference List'!$E:$E,0)))</f>
        <v/>
      </c>
      <c r="D1120" s="292" t="str">
        <f ca="1">IF(ISERROR($S1120),"",OFFSET('Smelter Reference List'!$C$4,$S1120-4,0)&amp;"")</f>
        <v/>
      </c>
      <c r="E1120" s="292" t="str">
        <f ca="1">IF(ISERROR($S1120),"",OFFSET('Smelter Reference List'!$D$4,$S1120-4,0)&amp;"")</f>
        <v/>
      </c>
      <c r="F1120" s="292" t="str">
        <f ca="1">IF(ISERROR($S1120),"",OFFSET('Smelter Reference List'!$E$4,$S1120-4,0))</f>
        <v/>
      </c>
      <c r="G1120" s="292" t="str">
        <f ca="1">IF(C1120=$U$4,"Enter smelter details", IF(ISERROR($S1120),"",OFFSET('Smelter Reference List'!$F$4,$S1120-4,0)))</f>
        <v/>
      </c>
      <c r="H1120" s="293" t="str">
        <f ca="1">IF(ISERROR($S1120),"",OFFSET('Smelter Reference List'!$G$4,$S1120-4,0))</f>
        <v/>
      </c>
      <c r="I1120" s="294" t="str">
        <f ca="1">IF(ISERROR($S1120),"",OFFSET('Smelter Reference List'!$H$4,$S1120-4,0))</f>
        <v/>
      </c>
      <c r="J1120" s="294" t="str">
        <f ca="1">IF(ISERROR($S1120),"",OFFSET('Smelter Reference List'!$I$4,$S1120-4,0))</f>
        <v/>
      </c>
      <c r="K1120" s="295"/>
      <c r="L1120" s="295"/>
      <c r="M1120" s="295"/>
      <c r="N1120" s="295"/>
      <c r="O1120" s="295"/>
      <c r="P1120" s="295"/>
      <c r="Q1120" s="296"/>
      <c r="R1120" s="227"/>
      <c r="S1120" s="228" t="e">
        <f>IF(C1120="",NA(),MATCH($B1120&amp;$C1120,'Smelter Reference List'!$J:$J,0))</f>
        <v>#N/A</v>
      </c>
      <c r="T1120" s="229"/>
      <c r="U1120" s="229">
        <f t="shared" ca="1" si="36"/>
        <v>0</v>
      </c>
      <c r="V1120" s="229"/>
      <c r="W1120" s="229"/>
      <c r="Y1120" s="223" t="str">
        <f t="shared" si="37"/>
        <v/>
      </c>
    </row>
    <row r="1121" spans="1:25" s="223" customFormat="1" ht="20.25">
      <c r="A1121" s="291"/>
      <c r="B1121" s="292" t="str">
        <f>IF(LEN(A1121)=0,"",INDEX('Smelter Reference List'!$A:$A,MATCH($A1121,'Smelter Reference List'!$E:$E,0)))</f>
        <v/>
      </c>
      <c r="C1121" s="298" t="str">
        <f>IF(LEN(A1121)=0,"",INDEX('Smelter Reference List'!$C:$C,MATCH($A1121,'Smelter Reference List'!$E:$E,0)))</f>
        <v/>
      </c>
      <c r="D1121" s="292" t="str">
        <f ca="1">IF(ISERROR($S1121),"",OFFSET('Smelter Reference List'!$C$4,$S1121-4,0)&amp;"")</f>
        <v/>
      </c>
      <c r="E1121" s="292" t="str">
        <f ca="1">IF(ISERROR($S1121),"",OFFSET('Smelter Reference List'!$D$4,$S1121-4,0)&amp;"")</f>
        <v/>
      </c>
      <c r="F1121" s="292" t="str">
        <f ca="1">IF(ISERROR($S1121),"",OFFSET('Smelter Reference List'!$E$4,$S1121-4,0))</f>
        <v/>
      </c>
      <c r="G1121" s="292" t="str">
        <f ca="1">IF(C1121=$U$4,"Enter smelter details", IF(ISERROR($S1121),"",OFFSET('Smelter Reference List'!$F$4,$S1121-4,0)))</f>
        <v/>
      </c>
      <c r="H1121" s="293" t="str">
        <f ca="1">IF(ISERROR($S1121),"",OFFSET('Smelter Reference List'!$G$4,$S1121-4,0))</f>
        <v/>
      </c>
      <c r="I1121" s="294" t="str">
        <f ca="1">IF(ISERROR($S1121),"",OFFSET('Smelter Reference List'!$H$4,$S1121-4,0))</f>
        <v/>
      </c>
      <c r="J1121" s="294" t="str">
        <f ca="1">IF(ISERROR($S1121),"",OFFSET('Smelter Reference List'!$I$4,$S1121-4,0))</f>
        <v/>
      </c>
      <c r="K1121" s="295"/>
      <c r="L1121" s="295"/>
      <c r="M1121" s="295"/>
      <c r="N1121" s="295"/>
      <c r="O1121" s="295"/>
      <c r="P1121" s="295"/>
      <c r="Q1121" s="296"/>
      <c r="R1121" s="227"/>
      <c r="S1121" s="228" t="e">
        <f>IF(C1121="",NA(),MATCH($B1121&amp;$C1121,'Smelter Reference List'!$J:$J,0))</f>
        <v>#N/A</v>
      </c>
      <c r="T1121" s="229"/>
      <c r="U1121" s="229">
        <f t="shared" ca="1" si="36"/>
        <v>0</v>
      </c>
      <c r="V1121" s="229"/>
      <c r="W1121" s="229"/>
      <c r="Y1121" s="223" t="str">
        <f t="shared" si="37"/>
        <v/>
      </c>
    </row>
    <row r="1122" spans="1:25" s="223" customFormat="1" ht="20.25">
      <c r="A1122" s="291"/>
      <c r="B1122" s="292" t="str">
        <f>IF(LEN(A1122)=0,"",INDEX('Smelter Reference List'!$A:$A,MATCH($A1122,'Smelter Reference List'!$E:$E,0)))</f>
        <v/>
      </c>
      <c r="C1122" s="298" t="str">
        <f>IF(LEN(A1122)=0,"",INDEX('Smelter Reference List'!$C:$C,MATCH($A1122,'Smelter Reference List'!$E:$E,0)))</f>
        <v/>
      </c>
      <c r="D1122" s="292" t="str">
        <f ca="1">IF(ISERROR($S1122),"",OFFSET('Smelter Reference List'!$C$4,$S1122-4,0)&amp;"")</f>
        <v/>
      </c>
      <c r="E1122" s="292" t="str">
        <f ca="1">IF(ISERROR($S1122),"",OFFSET('Smelter Reference List'!$D$4,$S1122-4,0)&amp;"")</f>
        <v/>
      </c>
      <c r="F1122" s="292" t="str">
        <f ca="1">IF(ISERROR($S1122),"",OFFSET('Smelter Reference List'!$E$4,$S1122-4,0))</f>
        <v/>
      </c>
      <c r="G1122" s="292" t="str">
        <f ca="1">IF(C1122=$U$4,"Enter smelter details", IF(ISERROR($S1122),"",OFFSET('Smelter Reference List'!$F$4,$S1122-4,0)))</f>
        <v/>
      </c>
      <c r="H1122" s="293" t="str">
        <f ca="1">IF(ISERROR($S1122),"",OFFSET('Smelter Reference List'!$G$4,$S1122-4,0))</f>
        <v/>
      </c>
      <c r="I1122" s="294" t="str">
        <f ca="1">IF(ISERROR($S1122),"",OFFSET('Smelter Reference List'!$H$4,$S1122-4,0))</f>
        <v/>
      </c>
      <c r="J1122" s="294" t="str">
        <f ca="1">IF(ISERROR($S1122),"",OFFSET('Smelter Reference List'!$I$4,$S1122-4,0))</f>
        <v/>
      </c>
      <c r="K1122" s="295"/>
      <c r="L1122" s="295"/>
      <c r="M1122" s="295"/>
      <c r="N1122" s="295"/>
      <c r="O1122" s="295"/>
      <c r="P1122" s="295"/>
      <c r="Q1122" s="296"/>
      <c r="R1122" s="227"/>
      <c r="S1122" s="228" t="e">
        <f>IF(C1122="",NA(),MATCH($B1122&amp;$C1122,'Smelter Reference List'!$J:$J,0))</f>
        <v>#N/A</v>
      </c>
      <c r="T1122" s="229"/>
      <c r="U1122" s="229">
        <f t="shared" ca="1" si="36"/>
        <v>0</v>
      </c>
      <c r="V1122" s="229"/>
      <c r="W1122" s="229"/>
      <c r="Y1122" s="223" t="str">
        <f t="shared" si="37"/>
        <v/>
      </c>
    </row>
    <row r="1123" spans="1:25" s="223" customFormat="1" ht="20.25">
      <c r="A1123" s="291"/>
      <c r="B1123" s="292" t="str">
        <f>IF(LEN(A1123)=0,"",INDEX('Smelter Reference List'!$A:$A,MATCH($A1123,'Smelter Reference List'!$E:$E,0)))</f>
        <v/>
      </c>
      <c r="C1123" s="298" t="str">
        <f>IF(LEN(A1123)=0,"",INDEX('Smelter Reference List'!$C:$C,MATCH($A1123,'Smelter Reference List'!$E:$E,0)))</f>
        <v/>
      </c>
      <c r="D1123" s="292" t="str">
        <f ca="1">IF(ISERROR($S1123),"",OFFSET('Smelter Reference List'!$C$4,$S1123-4,0)&amp;"")</f>
        <v/>
      </c>
      <c r="E1123" s="292" t="str">
        <f ca="1">IF(ISERROR($S1123),"",OFFSET('Smelter Reference List'!$D$4,$S1123-4,0)&amp;"")</f>
        <v/>
      </c>
      <c r="F1123" s="292" t="str">
        <f ca="1">IF(ISERROR($S1123),"",OFFSET('Smelter Reference List'!$E$4,$S1123-4,0))</f>
        <v/>
      </c>
      <c r="G1123" s="292" t="str">
        <f ca="1">IF(C1123=$U$4,"Enter smelter details", IF(ISERROR($S1123),"",OFFSET('Smelter Reference List'!$F$4,$S1123-4,0)))</f>
        <v/>
      </c>
      <c r="H1123" s="293" t="str">
        <f ca="1">IF(ISERROR($S1123),"",OFFSET('Smelter Reference List'!$G$4,$S1123-4,0))</f>
        <v/>
      </c>
      <c r="I1123" s="294" t="str">
        <f ca="1">IF(ISERROR($S1123),"",OFFSET('Smelter Reference List'!$H$4,$S1123-4,0))</f>
        <v/>
      </c>
      <c r="J1123" s="294" t="str">
        <f ca="1">IF(ISERROR($S1123),"",OFFSET('Smelter Reference List'!$I$4,$S1123-4,0))</f>
        <v/>
      </c>
      <c r="K1123" s="295"/>
      <c r="L1123" s="295"/>
      <c r="M1123" s="295"/>
      <c r="N1123" s="295"/>
      <c r="O1123" s="295"/>
      <c r="P1123" s="295"/>
      <c r="Q1123" s="296"/>
      <c r="R1123" s="227"/>
      <c r="S1123" s="228" t="e">
        <f>IF(C1123="",NA(),MATCH($B1123&amp;$C1123,'Smelter Reference List'!$J:$J,0))</f>
        <v>#N/A</v>
      </c>
      <c r="T1123" s="229"/>
      <c r="U1123" s="229">
        <f t="shared" ca="1" si="36"/>
        <v>0</v>
      </c>
      <c r="V1123" s="229"/>
      <c r="W1123" s="229"/>
      <c r="Y1123" s="223" t="str">
        <f t="shared" si="37"/>
        <v/>
      </c>
    </row>
    <row r="1124" spans="1:25" s="223" customFormat="1" ht="20.25">
      <c r="A1124" s="291"/>
      <c r="B1124" s="292" t="str">
        <f>IF(LEN(A1124)=0,"",INDEX('Smelter Reference List'!$A:$A,MATCH($A1124,'Smelter Reference List'!$E:$E,0)))</f>
        <v/>
      </c>
      <c r="C1124" s="298" t="str">
        <f>IF(LEN(A1124)=0,"",INDEX('Smelter Reference List'!$C:$C,MATCH($A1124,'Smelter Reference List'!$E:$E,0)))</f>
        <v/>
      </c>
      <c r="D1124" s="292" t="str">
        <f ca="1">IF(ISERROR($S1124),"",OFFSET('Smelter Reference List'!$C$4,$S1124-4,0)&amp;"")</f>
        <v/>
      </c>
      <c r="E1124" s="292" t="str">
        <f ca="1">IF(ISERROR($S1124),"",OFFSET('Smelter Reference List'!$D$4,$S1124-4,0)&amp;"")</f>
        <v/>
      </c>
      <c r="F1124" s="292" t="str">
        <f ca="1">IF(ISERROR($S1124),"",OFFSET('Smelter Reference List'!$E$4,$S1124-4,0))</f>
        <v/>
      </c>
      <c r="G1124" s="292" t="str">
        <f ca="1">IF(C1124=$U$4,"Enter smelter details", IF(ISERROR($S1124),"",OFFSET('Smelter Reference List'!$F$4,$S1124-4,0)))</f>
        <v/>
      </c>
      <c r="H1124" s="293" t="str">
        <f ca="1">IF(ISERROR($S1124),"",OFFSET('Smelter Reference List'!$G$4,$S1124-4,0))</f>
        <v/>
      </c>
      <c r="I1124" s="294" t="str">
        <f ca="1">IF(ISERROR($S1124),"",OFFSET('Smelter Reference List'!$H$4,$S1124-4,0))</f>
        <v/>
      </c>
      <c r="J1124" s="294" t="str">
        <f ca="1">IF(ISERROR($S1124),"",OFFSET('Smelter Reference List'!$I$4,$S1124-4,0))</f>
        <v/>
      </c>
      <c r="K1124" s="295"/>
      <c r="L1124" s="295"/>
      <c r="M1124" s="295"/>
      <c r="N1124" s="295"/>
      <c r="O1124" s="295"/>
      <c r="P1124" s="295"/>
      <c r="Q1124" s="296"/>
      <c r="R1124" s="227"/>
      <c r="S1124" s="228" t="e">
        <f>IF(C1124="",NA(),MATCH($B1124&amp;$C1124,'Smelter Reference List'!$J:$J,0))</f>
        <v>#N/A</v>
      </c>
      <c r="T1124" s="229"/>
      <c r="U1124" s="229">
        <f t="shared" ca="1" si="36"/>
        <v>0</v>
      </c>
      <c r="V1124" s="229"/>
      <c r="W1124" s="229"/>
      <c r="Y1124" s="223" t="str">
        <f t="shared" si="37"/>
        <v/>
      </c>
    </row>
    <row r="1125" spans="1:25" s="223" customFormat="1" ht="20.25">
      <c r="A1125" s="291"/>
      <c r="B1125" s="292" t="str">
        <f>IF(LEN(A1125)=0,"",INDEX('Smelter Reference List'!$A:$A,MATCH($A1125,'Smelter Reference List'!$E:$E,0)))</f>
        <v/>
      </c>
      <c r="C1125" s="298" t="str">
        <f>IF(LEN(A1125)=0,"",INDEX('Smelter Reference List'!$C:$C,MATCH($A1125,'Smelter Reference List'!$E:$E,0)))</f>
        <v/>
      </c>
      <c r="D1125" s="292" t="str">
        <f ca="1">IF(ISERROR($S1125),"",OFFSET('Smelter Reference List'!$C$4,$S1125-4,0)&amp;"")</f>
        <v/>
      </c>
      <c r="E1125" s="292" t="str">
        <f ca="1">IF(ISERROR($S1125),"",OFFSET('Smelter Reference List'!$D$4,$S1125-4,0)&amp;"")</f>
        <v/>
      </c>
      <c r="F1125" s="292" t="str">
        <f ca="1">IF(ISERROR($S1125),"",OFFSET('Smelter Reference List'!$E$4,$S1125-4,0))</f>
        <v/>
      </c>
      <c r="G1125" s="292" t="str">
        <f ca="1">IF(C1125=$U$4,"Enter smelter details", IF(ISERROR($S1125),"",OFFSET('Smelter Reference List'!$F$4,$S1125-4,0)))</f>
        <v/>
      </c>
      <c r="H1125" s="293" t="str">
        <f ca="1">IF(ISERROR($S1125),"",OFFSET('Smelter Reference List'!$G$4,$S1125-4,0))</f>
        <v/>
      </c>
      <c r="I1125" s="294" t="str">
        <f ca="1">IF(ISERROR($S1125),"",OFFSET('Smelter Reference List'!$H$4,$S1125-4,0))</f>
        <v/>
      </c>
      <c r="J1125" s="294" t="str">
        <f ca="1">IF(ISERROR($S1125),"",OFFSET('Smelter Reference List'!$I$4,$S1125-4,0))</f>
        <v/>
      </c>
      <c r="K1125" s="295"/>
      <c r="L1125" s="295"/>
      <c r="M1125" s="295"/>
      <c r="N1125" s="295"/>
      <c r="O1125" s="295"/>
      <c r="P1125" s="295"/>
      <c r="Q1125" s="296"/>
      <c r="R1125" s="227"/>
      <c r="S1125" s="228" t="e">
        <f>IF(C1125="",NA(),MATCH($B1125&amp;$C1125,'Smelter Reference List'!$J:$J,0))</f>
        <v>#N/A</v>
      </c>
      <c r="T1125" s="229"/>
      <c r="U1125" s="229">
        <f t="shared" ca="1" si="36"/>
        <v>0</v>
      </c>
      <c r="V1125" s="229"/>
      <c r="W1125" s="229"/>
      <c r="Y1125" s="223" t="str">
        <f t="shared" si="37"/>
        <v/>
      </c>
    </row>
    <row r="1126" spans="1:25" s="223" customFormat="1" ht="20.25">
      <c r="A1126" s="291"/>
      <c r="B1126" s="292" t="str">
        <f>IF(LEN(A1126)=0,"",INDEX('Smelter Reference List'!$A:$A,MATCH($A1126,'Smelter Reference List'!$E:$E,0)))</f>
        <v/>
      </c>
      <c r="C1126" s="298" t="str">
        <f>IF(LEN(A1126)=0,"",INDEX('Smelter Reference List'!$C:$C,MATCH($A1126,'Smelter Reference List'!$E:$E,0)))</f>
        <v/>
      </c>
      <c r="D1126" s="292" t="str">
        <f ca="1">IF(ISERROR($S1126),"",OFFSET('Smelter Reference List'!$C$4,$S1126-4,0)&amp;"")</f>
        <v/>
      </c>
      <c r="E1126" s="292" t="str">
        <f ca="1">IF(ISERROR($S1126),"",OFFSET('Smelter Reference List'!$D$4,$S1126-4,0)&amp;"")</f>
        <v/>
      </c>
      <c r="F1126" s="292" t="str">
        <f ca="1">IF(ISERROR($S1126),"",OFFSET('Smelter Reference List'!$E$4,$S1126-4,0))</f>
        <v/>
      </c>
      <c r="G1126" s="292" t="str">
        <f ca="1">IF(C1126=$U$4,"Enter smelter details", IF(ISERROR($S1126),"",OFFSET('Smelter Reference List'!$F$4,$S1126-4,0)))</f>
        <v/>
      </c>
      <c r="H1126" s="293" t="str">
        <f ca="1">IF(ISERROR($S1126),"",OFFSET('Smelter Reference List'!$G$4,$S1126-4,0))</f>
        <v/>
      </c>
      <c r="I1126" s="294" t="str">
        <f ca="1">IF(ISERROR($S1126),"",OFFSET('Smelter Reference List'!$H$4,$S1126-4,0))</f>
        <v/>
      </c>
      <c r="J1126" s="294" t="str">
        <f ca="1">IF(ISERROR($S1126),"",OFFSET('Smelter Reference List'!$I$4,$S1126-4,0))</f>
        <v/>
      </c>
      <c r="K1126" s="295"/>
      <c r="L1126" s="295"/>
      <c r="M1126" s="295"/>
      <c r="N1126" s="295"/>
      <c r="O1126" s="295"/>
      <c r="P1126" s="295"/>
      <c r="Q1126" s="296"/>
      <c r="R1126" s="227"/>
      <c r="S1126" s="228" t="e">
        <f>IF(C1126="",NA(),MATCH($B1126&amp;$C1126,'Smelter Reference List'!$J:$J,0))</f>
        <v>#N/A</v>
      </c>
      <c r="T1126" s="229"/>
      <c r="U1126" s="229">
        <f t="shared" ca="1" si="36"/>
        <v>0</v>
      </c>
      <c r="V1126" s="229"/>
      <c r="W1126" s="229"/>
      <c r="Y1126" s="223" t="str">
        <f t="shared" si="37"/>
        <v/>
      </c>
    </row>
    <row r="1127" spans="1:25" s="223" customFormat="1" ht="20.25">
      <c r="A1127" s="291"/>
      <c r="B1127" s="292" t="str">
        <f>IF(LEN(A1127)=0,"",INDEX('Smelter Reference List'!$A:$A,MATCH($A1127,'Smelter Reference List'!$E:$E,0)))</f>
        <v/>
      </c>
      <c r="C1127" s="298" t="str">
        <f>IF(LEN(A1127)=0,"",INDEX('Smelter Reference List'!$C:$C,MATCH($A1127,'Smelter Reference List'!$E:$E,0)))</f>
        <v/>
      </c>
      <c r="D1127" s="292" t="str">
        <f ca="1">IF(ISERROR($S1127),"",OFFSET('Smelter Reference List'!$C$4,$S1127-4,0)&amp;"")</f>
        <v/>
      </c>
      <c r="E1127" s="292" t="str">
        <f ca="1">IF(ISERROR($S1127),"",OFFSET('Smelter Reference List'!$D$4,$S1127-4,0)&amp;"")</f>
        <v/>
      </c>
      <c r="F1127" s="292" t="str">
        <f ca="1">IF(ISERROR($S1127),"",OFFSET('Smelter Reference List'!$E$4,$S1127-4,0))</f>
        <v/>
      </c>
      <c r="G1127" s="292" t="str">
        <f ca="1">IF(C1127=$U$4,"Enter smelter details", IF(ISERROR($S1127),"",OFFSET('Smelter Reference List'!$F$4,$S1127-4,0)))</f>
        <v/>
      </c>
      <c r="H1127" s="293" t="str">
        <f ca="1">IF(ISERROR($S1127),"",OFFSET('Smelter Reference List'!$G$4,$S1127-4,0))</f>
        <v/>
      </c>
      <c r="I1127" s="294" t="str">
        <f ca="1">IF(ISERROR($S1127),"",OFFSET('Smelter Reference List'!$H$4,$S1127-4,0))</f>
        <v/>
      </c>
      <c r="J1127" s="294" t="str">
        <f ca="1">IF(ISERROR($S1127),"",OFFSET('Smelter Reference List'!$I$4,$S1127-4,0))</f>
        <v/>
      </c>
      <c r="K1127" s="295"/>
      <c r="L1127" s="295"/>
      <c r="M1127" s="295"/>
      <c r="N1127" s="295"/>
      <c r="O1127" s="295"/>
      <c r="P1127" s="295"/>
      <c r="Q1127" s="296"/>
      <c r="R1127" s="227"/>
      <c r="S1127" s="228" t="e">
        <f>IF(C1127="",NA(),MATCH($B1127&amp;$C1127,'Smelter Reference List'!$J:$J,0))</f>
        <v>#N/A</v>
      </c>
      <c r="T1127" s="229"/>
      <c r="U1127" s="229">
        <f t="shared" ca="1" si="36"/>
        <v>0</v>
      </c>
      <c r="V1127" s="229"/>
      <c r="W1127" s="229"/>
      <c r="Y1127" s="223" t="str">
        <f t="shared" si="37"/>
        <v/>
      </c>
    </row>
    <row r="1128" spans="1:25" s="223" customFormat="1" ht="20.25">
      <c r="A1128" s="291"/>
      <c r="B1128" s="292" t="str">
        <f>IF(LEN(A1128)=0,"",INDEX('Smelter Reference List'!$A:$A,MATCH($A1128,'Smelter Reference List'!$E:$E,0)))</f>
        <v/>
      </c>
      <c r="C1128" s="298" t="str">
        <f>IF(LEN(A1128)=0,"",INDEX('Smelter Reference List'!$C:$C,MATCH($A1128,'Smelter Reference List'!$E:$E,0)))</f>
        <v/>
      </c>
      <c r="D1128" s="292" t="str">
        <f ca="1">IF(ISERROR($S1128),"",OFFSET('Smelter Reference List'!$C$4,$S1128-4,0)&amp;"")</f>
        <v/>
      </c>
      <c r="E1128" s="292" t="str">
        <f ca="1">IF(ISERROR($S1128),"",OFFSET('Smelter Reference List'!$D$4,$S1128-4,0)&amp;"")</f>
        <v/>
      </c>
      <c r="F1128" s="292" t="str">
        <f ca="1">IF(ISERROR($S1128),"",OFFSET('Smelter Reference List'!$E$4,$S1128-4,0))</f>
        <v/>
      </c>
      <c r="G1128" s="292" t="str">
        <f ca="1">IF(C1128=$U$4,"Enter smelter details", IF(ISERROR($S1128),"",OFFSET('Smelter Reference List'!$F$4,$S1128-4,0)))</f>
        <v/>
      </c>
      <c r="H1128" s="293" t="str">
        <f ca="1">IF(ISERROR($S1128),"",OFFSET('Smelter Reference List'!$G$4,$S1128-4,0))</f>
        <v/>
      </c>
      <c r="I1128" s="294" t="str">
        <f ca="1">IF(ISERROR($S1128),"",OFFSET('Smelter Reference List'!$H$4,$S1128-4,0))</f>
        <v/>
      </c>
      <c r="J1128" s="294" t="str">
        <f ca="1">IF(ISERROR($S1128),"",OFFSET('Smelter Reference List'!$I$4,$S1128-4,0))</f>
        <v/>
      </c>
      <c r="K1128" s="295"/>
      <c r="L1128" s="295"/>
      <c r="M1128" s="295"/>
      <c r="N1128" s="295"/>
      <c r="O1128" s="295"/>
      <c r="P1128" s="295"/>
      <c r="Q1128" s="296"/>
      <c r="R1128" s="227"/>
      <c r="S1128" s="228" t="e">
        <f>IF(C1128="",NA(),MATCH($B1128&amp;$C1128,'Smelter Reference List'!$J:$J,0))</f>
        <v>#N/A</v>
      </c>
      <c r="T1128" s="229"/>
      <c r="U1128" s="229">
        <f t="shared" ca="1" si="36"/>
        <v>0</v>
      </c>
      <c r="V1128" s="229"/>
      <c r="W1128" s="229"/>
      <c r="Y1128" s="223" t="str">
        <f t="shared" si="37"/>
        <v/>
      </c>
    </row>
    <row r="1129" spans="1:25" s="223" customFormat="1" ht="20.25">
      <c r="A1129" s="291"/>
      <c r="B1129" s="292" t="str">
        <f>IF(LEN(A1129)=0,"",INDEX('Smelter Reference List'!$A:$A,MATCH($A1129,'Smelter Reference List'!$E:$E,0)))</f>
        <v/>
      </c>
      <c r="C1129" s="298" t="str">
        <f>IF(LEN(A1129)=0,"",INDEX('Smelter Reference List'!$C:$C,MATCH($A1129,'Smelter Reference List'!$E:$E,0)))</f>
        <v/>
      </c>
      <c r="D1129" s="292" t="str">
        <f ca="1">IF(ISERROR($S1129),"",OFFSET('Smelter Reference List'!$C$4,$S1129-4,0)&amp;"")</f>
        <v/>
      </c>
      <c r="E1129" s="292" t="str">
        <f ca="1">IF(ISERROR($S1129),"",OFFSET('Smelter Reference List'!$D$4,$S1129-4,0)&amp;"")</f>
        <v/>
      </c>
      <c r="F1129" s="292" t="str">
        <f ca="1">IF(ISERROR($S1129),"",OFFSET('Smelter Reference List'!$E$4,$S1129-4,0))</f>
        <v/>
      </c>
      <c r="G1129" s="292" t="str">
        <f ca="1">IF(C1129=$U$4,"Enter smelter details", IF(ISERROR($S1129),"",OFFSET('Smelter Reference List'!$F$4,$S1129-4,0)))</f>
        <v/>
      </c>
      <c r="H1129" s="293" t="str">
        <f ca="1">IF(ISERROR($S1129),"",OFFSET('Smelter Reference List'!$G$4,$S1129-4,0))</f>
        <v/>
      </c>
      <c r="I1129" s="294" t="str">
        <f ca="1">IF(ISERROR($S1129),"",OFFSET('Smelter Reference List'!$H$4,$S1129-4,0))</f>
        <v/>
      </c>
      <c r="J1129" s="294" t="str">
        <f ca="1">IF(ISERROR($S1129),"",OFFSET('Smelter Reference List'!$I$4,$S1129-4,0))</f>
        <v/>
      </c>
      <c r="K1129" s="295"/>
      <c r="L1129" s="295"/>
      <c r="M1129" s="295"/>
      <c r="N1129" s="295"/>
      <c r="O1129" s="295"/>
      <c r="P1129" s="295"/>
      <c r="Q1129" s="296"/>
      <c r="R1129" s="227"/>
      <c r="S1129" s="228" t="e">
        <f>IF(C1129="",NA(),MATCH($B1129&amp;$C1129,'Smelter Reference List'!$J:$J,0))</f>
        <v>#N/A</v>
      </c>
      <c r="T1129" s="229"/>
      <c r="U1129" s="229">
        <f t="shared" ca="1" si="36"/>
        <v>0</v>
      </c>
      <c r="V1129" s="229"/>
      <c r="W1129" s="229"/>
      <c r="Y1129" s="223" t="str">
        <f t="shared" si="37"/>
        <v/>
      </c>
    </row>
    <row r="1130" spans="1:25" s="223" customFormat="1" ht="20.25">
      <c r="A1130" s="291"/>
      <c r="B1130" s="292" t="str">
        <f>IF(LEN(A1130)=0,"",INDEX('Smelter Reference List'!$A:$A,MATCH($A1130,'Smelter Reference List'!$E:$E,0)))</f>
        <v/>
      </c>
      <c r="C1130" s="298" t="str">
        <f>IF(LEN(A1130)=0,"",INDEX('Smelter Reference List'!$C:$C,MATCH($A1130,'Smelter Reference List'!$E:$E,0)))</f>
        <v/>
      </c>
      <c r="D1130" s="292" t="str">
        <f ca="1">IF(ISERROR($S1130),"",OFFSET('Smelter Reference List'!$C$4,$S1130-4,0)&amp;"")</f>
        <v/>
      </c>
      <c r="E1130" s="292" t="str">
        <f ca="1">IF(ISERROR($S1130),"",OFFSET('Smelter Reference List'!$D$4,$S1130-4,0)&amp;"")</f>
        <v/>
      </c>
      <c r="F1130" s="292" t="str">
        <f ca="1">IF(ISERROR($S1130),"",OFFSET('Smelter Reference List'!$E$4,$S1130-4,0))</f>
        <v/>
      </c>
      <c r="G1130" s="292" t="str">
        <f ca="1">IF(C1130=$U$4,"Enter smelter details", IF(ISERROR($S1130),"",OFFSET('Smelter Reference List'!$F$4,$S1130-4,0)))</f>
        <v/>
      </c>
      <c r="H1130" s="293" t="str">
        <f ca="1">IF(ISERROR($S1130),"",OFFSET('Smelter Reference List'!$G$4,$S1130-4,0))</f>
        <v/>
      </c>
      <c r="I1130" s="294" t="str">
        <f ca="1">IF(ISERROR($S1130),"",OFFSET('Smelter Reference List'!$H$4,$S1130-4,0))</f>
        <v/>
      </c>
      <c r="J1130" s="294" t="str">
        <f ca="1">IF(ISERROR($S1130),"",OFFSET('Smelter Reference List'!$I$4,$S1130-4,0))</f>
        <v/>
      </c>
      <c r="K1130" s="295"/>
      <c r="L1130" s="295"/>
      <c r="M1130" s="295"/>
      <c r="N1130" s="295"/>
      <c r="O1130" s="295"/>
      <c r="P1130" s="295"/>
      <c r="Q1130" s="296"/>
      <c r="R1130" s="227"/>
      <c r="S1130" s="228" t="e">
        <f>IF(C1130="",NA(),MATCH($B1130&amp;$C1130,'Smelter Reference List'!$J:$J,0))</f>
        <v>#N/A</v>
      </c>
      <c r="T1130" s="229"/>
      <c r="U1130" s="229">
        <f t="shared" ca="1" si="36"/>
        <v>0</v>
      </c>
      <c r="V1130" s="229"/>
      <c r="W1130" s="229"/>
      <c r="Y1130" s="223" t="str">
        <f t="shared" si="37"/>
        <v/>
      </c>
    </row>
    <row r="1131" spans="1:25" s="223" customFormat="1" ht="20.25">
      <c r="A1131" s="291"/>
      <c r="B1131" s="292" t="str">
        <f>IF(LEN(A1131)=0,"",INDEX('Smelter Reference List'!$A:$A,MATCH($A1131,'Smelter Reference List'!$E:$E,0)))</f>
        <v/>
      </c>
      <c r="C1131" s="298" t="str">
        <f>IF(LEN(A1131)=0,"",INDEX('Smelter Reference List'!$C:$C,MATCH($A1131,'Smelter Reference List'!$E:$E,0)))</f>
        <v/>
      </c>
      <c r="D1131" s="292" t="str">
        <f ca="1">IF(ISERROR($S1131),"",OFFSET('Smelter Reference List'!$C$4,$S1131-4,0)&amp;"")</f>
        <v/>
      </c>
      <c r="E1131" s="292" t="str">
        <f ca="1">IF(ISERROR($S1131),"",OFFSET('Smelter Reference List'!$D$4,$S1131-4,0)&amp;"")</f>
        <v/>
      </c>
      <c r="F1131" s="292" t="str">
        <f ca="1">IF(ISERROR($S1131),"",OFFSET('Smelter Reference List'!$E$4,$S1131-4,0))</f>
        <v/>
      </c>
      <c r="G1131" s="292" t="str">
        <f ca="1">IF(C1131=$U$4,"Enter smelter details", IF(ISERROR($S1131),"",OFFSET('Smelter Reference List'!$F$4,$S1131-4,0)))</f>
        <v/>
      </c>
      <c r="H1131" s="293" t="str">
        <f ca="1">IF(ISERROR($S1131),"",OFFSET('Smelter Reference List'!$G$4,$S1131-4,0))</f>
        <v/>
      </c>
      <c r="I1131" s="294" t="str">
        <f ca="1">IF(ISERROR($S1131),"",OFFSET('Smelter Reference List'!$H$4,$S1131-4,0))</f>
        <v/>
      </c>
      <c r="J1131" s="294" t="str">
        <f ca="1">IF(ISERROR($S1131),"",OFFSET('Smelter Reference List'!$I$4,$S1131-4,0))</f>
        <v/>
      </c>
      <c r="K1131" s="295"/>
      <c r="L1131" s="295"/>
      <c r="M1131" s="295"/>
      <c r="N1131" s="295"/>
      <c r="O1131" s="295"/>
      <c r="P1131" s="295"/>
      <c r="Q1131" s="296"/>
      <c r="R1131" s="227"/>
      <c r="S1131" s="228" t="e">
        <f>IF(C1131="",NA(),MATCH($B1131&amp;$C1131,'Smelter Reference List'!$J:$J,0))</f>
        <v>#N/A</v>
      </c>
      <c r="T1131" s="229"/>
      <c r="U1131" s="229">
        <f t="shared" ca="1" si="36"/>
        <v>0</v>
      </c>
      <c r="V1131" s="229"/>
      <c r="W1131" s="229"/>
      <c r="Y1131" s="223" t="str">
        <f t="shared" si="37"/>
        <v/>
      </c>
    </row>
    <row r="1132" spans="1:25" s="223" customFormat="1" ht="20.25">
      <c r="A1132" s="291"/>
      <c r="B1132" s="292" t="str">
        <f>IF(LEN(A1132)=0,"",INDEX('Smelter Reference List'!$A:$A,MATCH($A1132,'Smelter Reference List'!$E:$E,0)))</f>
        <v/>
      </c>
      <c r="C1132" s="298" t="str">
        <f>IF(LEN(A1132)=0,"",INDEX('Smelter Reference List'!$C:$C,MATCH($A1132,'Smelter Reference List'!$E:$E,0)))</f>
        <v/>
      </c>
      <c r="D1132" s="292" t="str">
        <f ca="1">IF(ISERROR($S1132),"",OFFSET('Smelter Reference List'!$C$4,$S1132-4,0)&amp;"")</f>
        <v/>
      </c>
      <c r="E1132" s="292" t="str">
        <f ca="1">IF(ISERROR($S1132),"",OFFSET('Smelter Reference List'!$D$4,$S1132-4,0)&amp;"")</f>
        <v/>
      </c>
      <c r="F1132" s="292" t="str">
        <f ca="1">IF(ISERROR($S1132),"",OFFSET('Smelter Reference List'!$E$4,$S1132-4,0))</f>
        <v/>
      </c>
      <c r="G1132" s="292" t="str">
        <f ca="1">IF(C1132=$U$4,"Enter smelter details", IF(ISERROR($S1132),"",OFFSET('Smelter Reference List'!$F$4,$S1132-4,0)))</f>
        <v/>
      </c>
      <c r="H1132" s="293" t="str">
        <f ca="1">IF(ISERROR($S1132),"",OFFSET('Smelter Reference List'!$G$4,$S1132-4,0))</f>
        <v/>
      </c>
      <c r="I1132" s="294" t="str">
        <f ca="1">IF(ISERROR($S1132),"",OFFSET('Smelter Reference List'!$H$4,$S1132-4,0))</f>
        <v/>
      </c>
      <c r="J1132" s="294" t="str">
        <f ca="1">IF(ISERROR($S1132),"",OFFSET('Smelter Reference List'!$I$4,$S1132-4,0))</f>
        <v/>
      </c>
      <c r="K1132" s="295"/>
      <c r="L1132" s="295"/>
      <c r="M1132" s="295"/>
      <c r="N1132" s="295"/>
      <c r="O1132" s="295"/>
      <c r="P1132" s="295"/>
      <c r="Q1132" s="296"/>
      <c r="R1132" s="227"/>
      <c r="S1132" s="228" t="e">
        <f>IF(C1132="",NA(),MATCH($B1132&amp;$C1132,'Smelter Reference List'!$J:$J,0))</f>
        <v>#N/A</v>
      </c>
      <c r="T1132" s="229"/>
      <c r="U1132" s="229">
        <f t="shared" ca="1" si="36"/>
        <v>0</v>
      </c>
      <c r="V1132" s="229"/>
      <c r="W1132" s="229"/>
      <c r="Y1132" s="223" t="str">
        <f t="shared" si="37"/>
        <v/>
      </c>
    </row>
    <row r="1133" spans="1:25" s="223" customFormat="1" ht="20.25">
      <c r="A1133" s="291"/>
      <c r="B1133" s="292" t="str">
        <f>IF(LEN(A1133)=0,"",INDEX('Smelter Reference List'!$A:$A,MATCH($A1133,'Smelter Reference List'!$E:$E,0)))</f>
        <v/>
      </c>
      <c r="C1133" s="298" t="str">
        <f>IF(LEN(A1133)=0,"",INDEX('Smelter Reference List'!$C:$C,MATCH($A1133,'Smelter Reference List'!$E:$E,0)))</f>
        <v/>
      </c>
      <c r="D1133" s="292" t="str">
        <f ca="1">IF(ISERROR($S1133),"",OFFSET('Smelter Reference List'!$C$4,$S1133-4,0)&amp;"")</f>
        <v/>
      </c>
      <c r="E1133" s="292" t="str">
        <f ca="1">IF(ISERROR($S1133),"",OFFSET('Smelter Reference List'!$D$4,$S1133-4,0)&amp;"")</f>
        <v/>
      </c>
      <c r="F1133" s="292" t="str">
        <f ca="1">IF(ISERROR($S1133),"",OFFSET('Smelter Reference List'!$E$4,$S1133-4,0))</f>
        <v/>
      </c>
      <c r="G1133" s="292" t="str">
        <f ca="1">IF(C1133=$U$4,"Enter smelter details", IF(ISERROR($S1133),"",OFFSET('Smelter Reference List'!$F$4,$S1133-4,0)))</f>
        <v/>
      </c>
      <c r="H1133" s="293" t="str">
        <f ca="1">IF(ISERROR($S1133),"",OFFSET('Smelter Reference List'!$G$4,$S1133-4,0))</f>
        <v/>
      </c>
      <c r="I1133" s="294" t="str">
        <f ca="1">IF(ISERROR($S1133),"",OFFSET('Smelter Reference List'!$H$4,$S1133-4,0))</f>
        <v/>
      </c>
      <c r="J1133" s="294" t="str">
        <f ca="1">IF(ISERROR($S1133),"",OFFSET('Smelter Reference List'!$I$4,$S1133-4,0))</f>
        <v/>
      </c>
      <c r="K1133" s="295"/>
      <c r="L1133" s="295"/>
      <c r="M1133" s="295"/>
      <c r="N1133" s="295"/>
      <c r="O1133" s="295"/>
      <c r="P1133" s="295"/>
      <c r="Q1133" s="296"/>
      <c r="R1133" s="227"/>
      <c r="S1133" s="228" t="e">
        <f>IF(C1133="",NA(),MATCH($B1133&amp;$C1133,'Smelter Reference List'!$J:$J,0))</f>
        <v>#N/A</v>
      </c>
      <c r="T1133" s="229"/>
      <c r="U1133" s="229">
        <f t="shared" ca="1" si="36"/>
        <v>0</v>
      </c>
      <c r="V1133" s="229"/>
      <c r="W1133" s="229"/>
      <c r="Y1133" s="223" t="str">
        <f t="shared" si="37"/>
        <v/>
      </c>
    </row>
    <row r="1134" spans="1:25" s="223" customFormat="1" ht="20.25">
      <c r="A1134" s="291"/>
      <c r="B1134" s="292" t="str">
        <f>IF(LEN(A1134)=0,"",INDEX('Smelter Reference List'!$A:$A,MATCH($A1134,'Smelter Reference List'!$E:$E,0)))</f>
        <v/>
      </c>
      <c r="C1134" s="298" t="str">
        <f>IF(LEN(A1134)=0,"",INDEX('Smelter Reference List'!$C:$C,MATCH($A1134,'Smelter Reference List'!$E:$E,0)))</f>
        <v/>
      </c>
      <c r="D1134" s="292" t="str">
        <f ca="1">IF(ISERROR($S1134),"",OFFSET('Smelter Reference List'!$C$4,$S1134-4,0)&amp;"")</f>
        <v/>
      </c>
      <c r="E1134" s="292" t="str">
        <f ca="1">IF(ISERROR($S1134),"",OFFSET('Smelter Reference List'!$D$4,$S1134-4,0)&amp;"")</f>
        <v/>
      </c>
      <c r="F1134" s="292" t="str">
        <f ca="1">IF(ISERROR($S1134),"",OFFSET('Smelter Reference List'!$E$4,$S1134-4,0))</f>
        <v/>
      </c>
      <c r="G1134" s="292" t="str">
        <f ca="1">IF(C1134=$U$4,"Enter smelter details", IF(ISERROR($S1134),"",OFFSET('Smelter Reference List'!$F$4,$S1134-4,0)))</f>
        <v/>
      </c>
      <c r="H1134" s="293" t="str">
        <f ca="1">IF(ISERROR($S1134),"",OFFSET('Smelter Reference List'!$G$4,$S1134-4,0))</f>
        <v/>
      </c>
      <c r="I1134" s="294" t="str">
        <f ca="1">IF(ISERROR($S1134),"",OFFSET('Smelter Reference List'!$H$4,$S1134-4,0))</f>
        <v/>
      </c>
      <c r="J1134" s="294" t="str">
        <f ca="1">IF(ISERROR($S1134),"",OFFSET('Smelter Reference List'!$I$4,$S1134-4,0))</f>
        <v/>
      </c>
      <c r="K1134" s="295"/>
      <c r="L1134" s="295"/>
      <c r="M1134" s="295"/>
      <c r="N1134" s="295"/>
      <c r="O1134" s="295"/>
      <c r="P1134" s="295"/>
      <c r="Q1134" s="296"/>
      <c r="R1134" s="227"/>
      <c r="S1134" s="228" t="e">
        <f>IF(C1134="",NA(),MATCH($B1134&amp;$C1134,'Smelter Reference List'!$J:$J,0))</f>
        <v>#N/A</v>
      </c>
      <c r="T1134" s="229"/>
      <c r="U1134" s="229">
        <f t="shared" ca="1" si="36"/>
        <v>0</v>
      </c>
      <c r="V1134" s="229"/>
      <c r="W1134" s="229"/>
      <c r="Y1134" s="223" t="str">
        <f t="shared" si="37"/>
        <v/>
      </c>
    </row>
    <row r="1135" spans="1:25" s="223" customFormat="1" ht="20.25">
      <c r="A1135" s="291"/>
      <c r="B1135" s="292" t="str">
        <f>IF(LEN(A1135)=0,"",INDEX('Smelter Reference List'!$A:$A,MATCH($A1135,'Smelter Reference List'!$E:$E,0)))</f>
        <v/>
      </c>
      <c r="C1135" s="298" t="str">
        <f>IF(LEN(A1135)=0,"",INDEX('Smelter Reference List'!$C:$C,MATCH($A1135,'Smelter Reference List'!$E:$E,0)))</f>
        <v/>
      </c>
      <c r="D1135" s="292" t="str">
        <f ca="1">IF(ISERROR($S1135),"",OFFSET('Smelter Reference List'!$C$4,$S1135-4,0)&amp;"")</f>
        <v/>
      </c>
      <c r="E1135" s="292" t="str">
        <f ca="1">IF(ISERROR($S1135),"",OFFSET('Smelter Reference List'!$D$4,$S1135-4,0)&amp;"")</f>
        <v/>
      </c>
      <c r="F1135" s="292" t="str">
        <f ca="1">IF(ISERROR($S1135),"",OFFSET('Smelter Reference List'!$E$4,$S1135-4,0))</f>
        <v/>
      </c>
      <c r="G1135" s="292" t="str">
        <f ca="1">IF(C1135=$U$4,"Enter smelter details", IF(ISERROR($S1135),"",OFFSET('Smelter Reference List'!$F$4,$S1135-4,0)))</f>
        <v/>
      </c>
      <c r="H1135" s="293" t="str">
        <f ca="1">IF(ISERROR($S1135),"",OFFSET('Smelter Reference List'!$G$4,$S1135-4,0))</f>
        <v/>
      </c>
      <c r="I1135" s="294" t="str">
        <f ca="1">IF(ISERROR($S1135),"",OFFSET('Smelter Reference List'!$H$4,$S1135-4,0))</f>
        <v/>
      </c>
      <c r="J1135" s="294" t="str">
        <f ca="1">IF(ISERROR($S1135),"",OFFSET('Smelter Reference List'!$I$4,$S1135-4,0))</f>
        <v/>
      </c>
      <c r="K1135" s="295"/>
      <c r="L1135" s="295"/>
      <c r="M1135" s="295"/>
      <c r="N1135" s="295"/>
      <c r="O1135" s="295"/>
      <c r="P1135" s="295"/>
      <c r="Q1135" s="296"/>
      <c r="R1135" s="227"/>
      <c r="S1135" s="228" t="e">
        <f>IF(C1135="",NA(),MATCH($B1135&amp;$C1135,'Smelter Reference List'!$J:$J,0))</f>
        <v>#N/A</v>
      </c>
      <c r="T1135" s="229"/>
      <c r="U1135" s="229">
        <f t="shared" ca="1" si="36"/>
        <v>0</v>
      </c>
      <c r="V1135" s="229"/>
      <c r="W1135" s="229"/>
      <c r="Y1135" s="223" t="str">
        <f t="shared" si="37"/>
        <v/>
      </c>
    </row>
    <row r="1136" spans="1:25" s="223" customFormat="1" ht="20.25">
      <c r="A1136" s="291"/>
      <c r="B1136" s="292" t="str">
        <f>IF(LEN(A1136)=0,"",INDEX('Smelter Reference List'!$A:$A,MATCH($A1136,'Smelter Reference List'!$E:$E,0)))</f>
        <v/>
      </c>
      <c r="C1136" s="298" t="str">
        <f>IF(LEN(A1136)=0,"",INDEX('Smelter Reference List'!$C:$C,MATCH($A1136,'Smelter Reference List'!$E:$E,0)))</f>
        <v/>
      </c>
      <c r="D1136" s="292" t="str">
        <f ca="1">IF(ISERROR($S1136),"",OFFSET('Smelter Reference List'!$C$4,$S1136-4,0)&amp;"")</f>
        <v/>
      </c>
      <c r="E1136" s="292" t="str">
        <f ca="1">IF(ISERROR($S1136),"",OFFSET('Smelter Reference List'!$D$4,$S1136-4,0)&amp;"")</f>
        <v/>
      </c>
      <c r="F1136" s="292" t="str">
        <f ca="1">IF(ISERROR($S1136),"",OFFSET('Smelter Reference List'!$E$4,$S1136-4,0))</f>
        <v/>
      </c>
      <c r="G1136" s="292" t="str">
        <f ca="1">IF(C1136=$U$4,"Enter smelter details", IF(ISERROR($S1136),"",OFFSET('Smelter Reference List'!$F$4,$S1136-4,0)))</f>
        <v/>
      </c>
      <c r="H1136" s="293" t="str">
        <f ca="1">IF(ISERROR($S1136),"",OFFSET('Smelter Reference List'!$G$4,$S1136-4,0))</f>
        <v/>
      </c>
      <c r="I1136" s="294" t="str">
        <f ca="1">IF(ISERROR($S1136),"",OFFSET('Smelter Reference List'!$H$4,$S1136-4,0))</f>
        <v/>
      </c>
      <c r="J1136" s="294" t="str">
        <f ca="1">IF(ISERROR($S1136),"",OFFSET('Smelter Reference List'!$I$4,$S1136-4,0))</f>
        <v/>
      </c>
      <c r="K1136" s="295"/>
      <c r="L1136" s="295"/>
      <c r="M1136" s="295"/>
      <c r="N1136" s="295"/>
      <c r="O1136" s="295"/>
      <c r="P1136" s="295"/>
      <c r="Q1136" s="296"/>
      <c r="R1136" s="227"/>
      <c r="S1136" s="228" t="e">
        <f>IF(C1136="",NA(),MATCH($B1136&amp;$C1136,'Smelter Reference List'!$J:$J,0))</f>
        <v>#N/A</v>
      </c>
      <c r="T1136" s="229"/>
      <c r="U1136" s="229">
        <f t="shared" ca="1" si="36"/>
        <v>0</v>
      </c>
      <c r="V1136" s="229"/>
      <c r="W1136" s="229"/>
      <c r="Y1136" s="223" t="str">
        <f t="shared" si="37"/>
        <v/>
      </c>
    </row>
    <row r="1137" spans="1:25" s="223" customFormat="1" ht="20.25">
      <c r="A1137" s="291"/>
      <c r="B1137" s="292" t="str">
        <f>IF(LEN(A1137)=0,"",INDEX('Smelter Reference List'!$A:$A,MATCH($A1137,'Smelter Reference List'!$E:$E,0)))</f>
        <v/>
      </c>
      <c r="C1137" s="298" t="str">
        <f>IF(LEN(A1137)=0,"",INDEX('Smelter Reference List'!$C:$C,MATCH($A1137,'Smelter Reference List'!$E:$E,0)))</f>
        <v/>
      </c>
      <c r="D1137" s="292" t="str">
        <f ca="1">IF(ISERROR($S1137),"",OFFSET('Smelter Reference List'!$C$4,$S1137-4,0)&amp;"")</f>
        <v/>
      </c>
      <c r="E1137" s="292" t="str">
        <f ca="1">IF(ISERROR($S1137),"",OFFSET('Smelter Reference List'!$D$4,$S1137-4,0)&amp;"")</f>
        <v/>
      </c>
      <c r="F1137" s="292" t="str">
        <f ca="1">IF(ISERROR($S1137),"",OFFSET('Smelter Reference List'!$E$4,$S1137-4,0))</f>
        <v/>
      </c>
      <c r="G1137" s="292" t="str">
        <f ca="1">IF(C1137=$U$4,"Enter smelter details", IF(ISERROR($S1137),"",OFFSET('Smelter Reference List'!$F$4,$S1137-4,0)))</f>
        <v/>
      </c>
      <c r="H1137" s="293" t="str">
        <f ca="1">IF(ISERROR($S1137),"",OFFSET('Smelter Reference List'!$G$4,$S1137-4,0))</f>
        <v/>
      </c>
      <c r="I1137" s="294" t="str">
        <f ca="1">IF(ISERROR($S1137),"",OFFSET('Smelter Reference List'!$H$4,$S1137-4,0))</f>
        <v/>
      </c>
      <c r="J1137" s="294" t="str">
        <f ca="1">IF(ISERROR($S1137),"",OFFSET('Smelter Reference List'!$I$4,$S1137-4,0))</f>
        <v/>
      </c>
      <c r="K1137" s="295"/>
      <c r="L1137" s="295"/>
      <c r="M1137" s="295"/>
      <c r="N1137" s="295"/>
      <c r="O1137" s="295"/>
      <c r="P1137" s="295"/>
      <c r="Q1137" s="296"/>
      <c r="R1137" s="227"/>
      <c r="S1137" s="228" t="e">
        <f>IF(C1137="",NA(),MATCH($B1137&amp;$C1137,'Smelter Reference List'!$J:$J,0))</f>
        <v>#N/A</v>
      </c>
      <c r="T1137" s="229"/>
      <c r="U1137" s="229">
        <f t="shared" ca="1" si="36"/>
        <v>0</v>
      </c>
      <c r="V1137" s="229"/>
      <c r="W1137" s="229"/>
      <c r="Y1137" s="223" t="str">
        <f t="shared" si="37"/>
        <v/>
      </c>
    </row>
    <row r="1138" spans="1:25" s="223" customFormat="1" ht="20.25">
      <c r="A1138" s="291"/>
      <c r="B1138" s="292" t="str">
        <f>IF(LEN(A1138)=0,"",INDEX('Smelter Reference List'!$A:$A,MATCH($A1138,'Smelter Reference List'!$E:$E,0)))</f>
        <v/>
      </c>
      <c r="C1138" s="298" t="str">
        <f>IF(LEN(A1138)=0,"",INDEX('Smelter Reference List'!$C:$C,MATCH($A1138,'Smelter Reference List'!$E:$E,0)))</f>
        <v/>
      </c>
      <c r="D1138" s="292" t="str">
        <f ca="1">IF(ISERROR($S1138),"",OFFSET('Smelter Reference List'!$C$4,$S1138-4,0)&amp;"")</f>
        <v/>
      </c>
      <c r="E1138" s="292" t="str">
        <f ca="1">IF(ISERROR($S1138),"",OFFSET('Smelter Reference List'!$D$4,$S1138-4,0)&amp;"")</f>
        <v/>
      </c>
      <c r="F1138" s="292" t="str">
        <f ca="1">IF(ISERROR($S1138),"",OFFSET('Smelter Reference List'!$E$4,$S1138-4,0))</f>
        <v/>
      </c>
      <c r="G1138" s="292" t="str">
        <f ca="1">IF(C1138=$U$4,"Enter smelter details", IF(ISERROR($S1138),"",OFFSET('Smelter Reference List'!$F$4,$S1138-4,0)))</f>
        <v/>
      </c>
      <c r="H1138" s="293" t="str">
        <f ca="1">IF(ISERROR($S1138),"",OFFSET('Smelter Reference List'!$G$4,$S1138-4,0))</f>
        <v/>
      </c>
      <c r="I1138" s="294" t="str">
        <f ca="1">IF(ISERROR($S1138),"",OFFSET('Smelter Reference List'!$H$4,$S1138-4,0))</f>
        <v/>
      </c>
      <c r="J1138" s="294" t="str">
        <f ca="1">IF(ISERROR($S1138),"",OFFSET('Smelter Reference List'!$I$4,$S1138-4,0))</f>
        <v/>
      </c>
      <c r="K1138" s="295"/>
      <c r="L1138" s="295"/>
      <c r="M1138" s="295"/>
      <c r="N1138" s="295"/>
      <c r="O1138" s="295"/>
      <c r="P1138" s="295"/>
      <c r="Q1138" s="296"/>
      <c r="R1138" s="227"/>
      <c r="S1138" s="228" t="e">
        <f>IF(C1138="",NA(),MATCH($B1138&amp;$C1138,'Smelter Reference List'!$J:$J,0))</f>
        <v>#N/A</v>
      </c>
      <c r="T1138" s="229"/>
      <c r="U1138" s="229">
        <f t="shared" ca="1" si="36"/>
        <v>0</v>
      </c>
      <c r="V1138" s="229"/>
      <c r="W1138" s="229"/>
      <c r="Y1138" s="223" t="str">
        <f t="shared" si="37"/>
        <v/>
      </c>
    </row>
    <row r="1139" spans="1:25" s="223" customFormat="1" ht="20.25">
      <c r="A1139" s="291"/>
      <c r="B1139" s="292" t="str">
        <f>IF(LEN(A1139)=0,"",INDEX('Smelter Reference List'!$A:$A,MATCH($A1139,'Smelter Reference List'!$E:$E,0)))</f>
        <v/>
      </c>
      <c r="C1139" s="298" t="str">
        <f>IF(LEN(A1139)=0,"",INDEX('Smelter Reference List'!$C:$C,MATCH($A1139,'Smelter Reference List'!$E:$E,0)))</f>
        <v/>
      </c>
      <c r="D1139" s="292" t="str">
        <f ca="1">IF(ISERROR($S1139),"",OFFSET('Smelter Reference List'!$C$4,$S1139-4,0)&amp;"")</f>
        <v/>
      </c>
      <c r="E1139" s="292" t="str">
        <f ca="1">IF(ISERROR($S1139),"",OFFSET('Smelter Reference List'!$D$4,$S1139-4,0)&amp;"")</f>
        <v/>
      </c>
      <c r="F1139" s="292" t="str">
        <f ca="1">IF(ISERROR($S1139),"",OFFSET('Smelter Reference List'!$E$4,$S1139-4,0))</f>
        <v/>
      </c>
      <c r="G1139" s="292" t="str">
        <f ca="1">IF(C1139=$U$4,"Enter smelter details", IF(ISERROR($S1139),"",OFFSET('Smelter Reference List'!$F$4,$S1139-4,0)))</f>
        <v/>
      </c>
      <c r="H1139" s="293" t="str">
        <f ca="1">IF(ISERROR($S1139),"",OFFSET('Smelter Reference List'!$G$4,$S1139-4,0))</f>
        <v/>
      </c>
      <c r="I1139" s="294" t="str">
        <f ca="1">IF(ISERROR($S1139),"",OFFSET('Smelter Reference List'!$H$4,$S1139-4,0))</f>
        <v/>
      </c>
      <c r="J1139" s="294" t="str">
        <f ca="1">IF(ISERROR($S1139),"",OFFSET('Smelter Reference List'!$I$4,$S1139-4,0))</f>
        <v/>
      </c>
      <c r="K1139" s="295"/>
      <c r="L1139" s="295"/>
      <c r="M1139" s="295"/>
      <c r="N1139" s="295"/>
      <c r="O1139" s="295"/>
      <c r="P1139" s="295"/>
      <c r="Q1139" s="296"/>
      <c r="R1139" s="227"/>
      <c r="S1139" s="228" t="e">
        <f>IF(C1139="",NA(),MATCH($B1139&amp;$C1139,'Smelter Reference List'!$J:$J,0))</f>
        <v>#N/A</v>
      </c>
      <c r="T1139" s="229"/>
      <c r="U1139" s="229">
        <f t="shared" ca="1" si="36"/>
        <v>0</v>
      </c>
      <c r="V1139" s="229"/>
      <c r="W1139" s="229"/>
      <c r="Y1139" s="223" t="str">
        <f t="shared" si="37"/>
        <v/>
      </c>
    </row>
    <row r="1140" spans="1:25" s="223" customFormat="1" ht="20.25">
      <c r="A1140" s="291"/>
      <c r="B1140" s="292" t="str">
        <f>IF(LEN(A1140)=0,"",INDEX('Smelter Reference List'!$A:$A,MATCH($A1140,'Smelter Reference List'!$E:$E,0)))</f>
        <v/>
      </c>
      <c r="C1140" s="298" t="str">
        <f>IF(LEN(A1140)=0,"",INDEX('Smelter Reference List'!$C:$C,MATCH($A1140,'Smelter Reference List'!$E:$E,0)))</f>
        <v/>
      </c>
      <c r="D1140" s="292" t="str">
        <f ca="1">IF(ISERROR($S1140),"",OFFSET('Smelter Reference List'!$C$4,$S1140-4,0)&amp;"")</f>
        <v/>
      </c>
      <c r="E1140" s="292" t="str">
        <f ca="1">IF(ISERROR($S1140),"",OFFSET('Smelter Reference List'!$D$4,$S1140-4,0)&amp;"")</f>
        <v/>
      </c>
      <c r="F1140" s="292" t="str">
        <f ca="1">IF(ISERROR($S1140),"",OFFSET('Smelter Reference List'!$E$4,$S1140-4,0))</f>
        <v/>
      </c>
      <c r="G1140" s="292" t="str">
        <f ca="1">IF(C1140=$U$4,"Enter smelter details", IF(ISERROR($S1140),"",OFFSET('Smelter Reference List'!$F$4,$S1140-4,0)))</f>
        <v/>
      </c>
      <c r="H1140" s="293" t="str">
        <f ca="1">IF(ISERROR($S1140),"",OFFSET('Smelter Reference List'!$G$4,$S1140-4,0))</f>
        <v/>
      </c>
      <c r="I1140" s="294" t="str">
        <f ca="1">IF(ISERROR($S1140),"",OFFSET('Smelter Reference List'!$H$4,$S1140-4,0))</f>
        <v/>
      </c>
      <c r="J1140" s="294" t="str">
        <f ca="1">IF(ISERROR($S1140),"",OFFSET('Smelter Reference List'!$I$4,$S1140-4,0))</f>
        <v/>
      </c>
      <c r="K1140" s="295"/>
      <c r="L1140" s="295"/>
      <c r="M1140" s="295"/>
      <c r="N1140" s="295"/>
      <c r="O1140" s="295"/>
      <c r="P1140" s="295"/>
      <c r="Q1140" s="296"/>
      <c r="R1140" s="227"/>
      <c r="S1140" s="228" t="e">
        <f>IF(C1140="",NA(),MATCH($B1140&amp;$C1140,'Smelter Reference List'!$J:$J,0))</f>
        <v>#N/A</v>
      </c>
      <c r="T1140" s="229"/>
      <c r="U1140" s="229">
        <f t="shared" ca="1" si="36"/>
        <v>0</v>
      </c>
      <c r="V1140" s="229"/>
      <c r="W1140" s="229"/>
      <c r="Y1140" s="223" t="str">
        <f t="shared" si="37"/>
        <v/>
      </c>
    </row>
    <row r="1141" spans="1:25" s="223" customFormat="1" ht="20.25">
      <c r="A1141" s="291"/>
      <c r="B1141" s="292" t="str">
        <f>IF(LEN(A1141)=0,"",INDEX('Smelter Reference List'!$A:$A,MATCH($A1141,'Smelter Reference List'!$E:$E,0)))</f>
        <v/>
      </c>
      <c r="C1141" s="298" t="str">
        <f>IF(LEN(A1141)=0,"",INDEX('Smelter Reference List'!$C:$C,MATCH($A1141,'Smelter Reference List'!$E:$E,0)))</f>
        <v/>
      </c>
      <c r="D1141" s="292" t="str">
        <f ca="1">IF(ISERROR($S1141),"",OFFSET('Smelter Reference List'!$C$4,$S1141-4,0)&amp;"")</f>
        <v/>
      </c>
      <c r="E1141" s="292" t="str">
        <f ca="1">IF(ISERROR($S1141),"",OFFSET('Smelter Reference List'!$D$4,$S1141-4,0)&amp;"")</f>
        <v/>
      </c>
      <c r="F1141" s="292" t="str">
        <f ca="1">IF(ISERROR($S1141),"",OFFSET('Smelter Reference List'!$E$4,$S1141-4,0))</f>
        <v/>
      </c>
      <c r="G1141" s="292" t="str">
        <f ca="1">IF(C1141=$U$4,"Enter smelter details", IF(ISERROR($S1141),"",OFFSET('Smelter Reference List'!$F$4,$S1141-4,0)))</f>
        <v/>
      </c>
      <c r="H1141" s="293" t="str">
        <f ca="1">IF(ISERROR($S1141),"",OFFSET('Smelter Reference List'!$G$4,$S1141-4,0))</f>
        <v/>
      </c>
      <c r="I1141" s="294" t="str">
        <f ca="1">IF(ISERROR($S1141),"",OFFSET('Smelter Reference List'!$H$4,$S1141-4,0))</f>
        <v/>
      </c>
      <c r="J1141" s="294" t="str">
        <f ca="1">IF(ISERROR($S1141),"",OFFSET('Smelter Reference List'!$I$4,$S1141-4,0))</f>
        <v/>
      </c>
      <c r="K1141" s="295"/>
      <c r="L1141" s="295"/>
      <c r="M1141" s="295"/>
      <c r="N1141" s="295"/>
      <c r="O1141" s="295"/>
      <c r="P1141" s="295"/>
      <c r="Q1141" s="296"/>
      <c r="R1141" s="227"/>
      <c r="S1141" s="228" t="e">
        <f>IF(C1141="",NA(),MATCH($B1141&amp;$C1141,'Smelter Reference List'!$J:$J,0))</f>
        <v>#N/A</v>
      </c>
      <c r="T1141" s="229"/>
      <c r="U1141" s="229">
        <f t="shared" ca="1" si="36"/>
        <v>0</v>
      </c>
      <c r="V1141" s="229"/>
      <c r="W1141" s="229"/>
      <c r="Y1141" s="223" t="str">
        <f t="shared" si="37"/>
        <v/>
      </c>
    </row>
    <row r="1142" spans="1:25" s="223" customFormat="1" ht="20.25">
      <c r="A1142" s="291"/>
      <c r="B1142" s="292" t="str">
        <f>IF(LEN(A1142)=0,"",INDEX('Smelter Reference List'!$A:$A,MATCH($A1142,'Smelter Reference List'!$E:$E,0)))</f>
        <v/>
      </c>
      <c r="C1142" s="298" t="str">
        <f>IF(LEN(A1142)=0,"",INDEX('Smelter Reference List'!$C:$C,MATCH($A1142,'Smelter Reference List'!$E:$E,0)))</f>
        <v/>
      </c>
      <c r="D1142" s="292" t="str">
        <f ca="1">IF(ISERROR($S1142),"",OFFSET('Smelter Reference List'!$C$4,$S1142-4,0)&amp;"")</f>
        <v/>
      </c>
      <c r="E1142" s="292" t="str">
        <f ca="1">IF(ISERROR($S1142),"",OFFSET('Smelter Reference List'!$D$4,$S1142-4,0)&amp;"")</f>
        <v/>
      </c>
      <c r="F1142" s="292" t="str">
        <f ca="1">IF(ISERROR($S1142),"",OFFSET('Smelter Reference List'!$E$4,$S1142-4,0))</f>
        <v/>
      </c>
      <c r="G1142" s="292" t="str">
        <f ca="1">IF(C1142=$U$4,"Enter smelter details", IF(ISERROR($S1142),"",OFFSET('Smelter Reference List'!$F$4,$S1142-4,0)))</f>
        <v/>
      </c>
      <c r="H1142" s="293" t="str">
        <f ca="1">IF(ISERROR($S1142),"",OFFSET('Smelter Reference List'!$G$4,$S1142-4,0))</f>
        <v/>
      </c>
      <c r="I1142" s="294" t="str">
        <f ca="1">IF(ISERROR($S1142),"",OFFSET('Smelter Reference List'!$H$4,$S1142-4,0))</f>
        <v/>
      </c>
      <c r="J1142" s="294" t="str">
        <f ca="1">IF(ISERROR($S1142),"",OFFSET('Smelter Reference List'!$I$4,$S1142-4,0))</f>
        <v/>
      </c>
      <c r="K1142" s="295"/>
      <c r="L1142" s="295"/>
      <c r="M1142" s="295"/>
      <c r="N1142" s="295"/>
      <c r="O1142" s="295"/>
      <c r="P1142" s="295"/>
      <c r="Q1142" s="296"/>
      <c r="R1142" s="227"/>
      <c r="S1142" s="228" t="e">
        <f>IF(C1142="",NA(),MATCH($B1142&amp;$C1142,'Smelter Reference List'!$J:$J,0))</f>
        <v>#N/A</v>
      </c>
      <c r="T1142" s="229"/>
      <c r="U1142" s="229">
        <f t="shared" ca="1" si="36"/>
        <v>0</v>
      </c>
      <c r="V1142" s="229"/>
      <c r="W1142" s="229"/>
      <c r="Y1142" s="223" t="str">
        <f t="shared" si="37"/>
        <v/>
      </c>
    </row>
    <row r="1143" spans="1:25" s="223" customFormat="1" ht="20.25">
      <c r="A1143" s="291"/>
      <c r="B1143" s="292" t="str">
        <f>IF(LEN(A1143)=0,"",INDEX('Smelter Reference List'!$A:$A,MATCH($A1143,'Smelter Reference List'!$E:$E,0)))</f>
        <v/>
      </c>
      <c r="C1143" s="298" t="str">
        <f>IF(LEN(A1143)=0,"",INDEX('Smelter Reference List'!$C:$C,MATCH($A1143,'Smelter Reference List'!$E:$E,0)))</f>
        <v/>
      </c>
      <c r="D1143" s="292" t="str">
        <f ca="1">IF(ISERROR($S1143),"",OFFSET('Smelter Reference List'!$C$4,$S1143-4,0)&amp;"")</f>
        <v/>
      </c>
      <c r="E1143" s="292" t="str">
        <f ca="1">IF(ISERROR($S1143),"",OFFSET('Smelter Reference List'!$D$4,$S1143-4,0)&amp;"")</f>
        <v/>
      </c>
      <c r="F1143" s="292" t="str">
        <f ca="1">IF(ISERROR($S1143),"",OFFSET('Smelter Reference List'!$E$4,$S1143-4,0))</f>
        <v/>
      </c>
      <c r="G1143" s="292" t="str">
        <f ca="1">IF(C1143=$U$4,"Enter smelter details", IF(ISERROR($S1143),"",OFFSET('Smelter Reference List'!$F$4,$S1143-4,0)))</f>
        <v/>
      </c>
      <c r="H1143" s="293" t="str">
        <f ca="1">IF(ISERROR($S1143),"",OFFSET('Smelter Reference List'!$G$4,$S1143-4,0))</f>
        <v/>
      </c>
      <c r="I1143" s="294" t="str">
        <f ca="1">IF(ISERROR($S1143),"",OFFSET('Smelter Reference List'!$H$4,$S1143-4,0))</f>
        <v/>
      </c>
      <c r="J1143" s="294" t="str">
        <f ca="1">IF(ISERROR($S1143),"",OFFSET('Smelter Reference List'!$I$4,$S1143-4,0))</f>
        <v/>
      </c>
      <c r="K1143" s="295"/>
      <c r="L1143" s="295"/>
      <c r="M1143" s="295"/>
      <c r="N1143" s="295"/>
      <c r="O1143" s="295"/>
      <c r="P1143" s="295"/>
      <c r="Q1143" s="296"/>
      <c r="R1143" s="227"/>
      <c r="S1143" s="228" t="e">
        <f>IF(C1143="",NA(),MATCH($B1143&amp;$C1143,'Smelter Reference List'!$J:$J,0))</f>
        <v>#N/A</v>
      </c>
      <c r="T1143" s="229"/>
      <c r="U1143" s="229">
        <f t="shared" ca="1" si="36"/>
        <v>0</v>
      </c>
      <c r="V1143" s="229"/>
      <c r="W1143" s="229"/>
      <c r="Y1143" s="223" t="str">
        <f t="shared" si="37"/>
        <v/>
      </c>
    </row>
    <row r="1144" spans="1:25" s="223" customFormat="1" ht="20.25">
      <c r="A1144" s="291"/>
      <c r="B1144" s="292" t="str">
        <f>IF(LEN(A1144)=0,"",INDEX('Smelter Reference List'!$A:$A,MATCH($A1144,'Smelter Reference List'!$E:$E,0)))</f>
        <v/>
      </c>
      <c r="C1144" s="298" t="str">
        <f>IF(LEN(A1144)=0,"",INDEX('Smelter Reference List'!$C:$C,MATCH($A1144,'Smelter Reference List'!$E:$E,0)))</f>
        <v/>
      </c>
      <c r="D1144" s="292" t="str">
        <f ca="1">IF(ISERROR($S1144),"",OFFSET('Smelter Reference List'!$C$4,$S1144-4,0)&amp;"")</f>
        <v/>
      </c>
      <c r="E1144" s="292" t="str">
        <f ca="1">IF(ISERROR($S1144),"",OFFSET('Smelter Reference List'!$D$4,$S1144-4,0)&amp;"")</f>
        <v/>
      </c>
      <c r="F1144" s="292" t="str">
        <f ca="1">IF(ISERROR($S1144),"",OFFSET('Smelter Reference List'!$E$4,$S1144-4,0))</f>
        <v/>
      </c>
      <c r="G1144" s="292" t="str">
        <f ca="1">IF(C1144=$U$4,"Enter smelter details", IF(ISERROR($S1144),"",OFFSET('Smelter Reference List'!$F$4,$S1144-4,0)))</f>
        <v/>
      </c>
      <c r="H1144" s="293" t="str">
        <f ca="1">IF(ISERROR($S1144),"",OFFSET('Smelter Reference List'!$G$4,$S1144-4,0))</f>
        <v/>
      </c>
      <c r="I1144" s="294" t="str">
        <f ca="1">IF(ISERROR($S1144),"",OFFSET('Smelter Reference List'!$H$4,$S1144-4,0))</f>
        <v/>
      </c>
      <c r="J1144" s="294" t="str">
        <f ca="1">IF(ISERROR($S1144),"",OFFSET('Smelter Reference List'!$I$4,$S1144-4,0))</f>
        <v/>
      </c>
      <c r="K1144" s="295"/>
      <c r="L1144" s="295"/>
      <c r="M1144" s="295"/>
      <c r="N1144" s="295"/>
      <c r="O1144" s="295"/>
      <c r="P1144" s="295"/>
      <c r="Q1144" s="296"/>
      <c r="R1144" s="227"/>
      <c r="S1144" s="228" t="e">
        <f>IF(C1144="",NA(),MATCH($B1144&amp;$C1144,'Smelter Reference List'!$J:$J,0))</f>
        <v>#N/A</v>
      </c>
      <c r="T1144" s="229"/>
      <c r="U1144" s="229">
        <f t="shared" ca="1" si="36"/>
        <v>0</v>
      </c>
      <c r="V1144" s="229"/>
      <c r="W1144" s="229"/>
      <c r="Y1144" s="223" t="str">
        <f t="shared" si="37"/>
        <v/>
      </c>
    </row>
    <row r="1145" spans="1:25" s="223" customFormat="1" ht="20.25">
      <c r="A1145" s="291"/>
      <c r="B1145" s="292" t="str">
        <f>IF(LEN(A1145)=0,"",INDEX('Smelter Reference List'!$A:$A,MATCH($A1145,'Smelter Reference List'!$E:$E,0)))</f>
        <v/>
      </c>
      <c r="C1145" s="298" t="str">
        <f>IF(LEN(A1145)=0,"",INDEX('Smelter Reference List'!$C:$C,MATCH($A1145,'Smelter Reference List'!$E:$E,0)))</f>
        <v/>
      </c>
      <c r="D1145" s="292" t="str">
        <f ca="1">IF(ISERROR($S1145),"",OFFSET('Smelter Reference List'!$C$4,$S1145-4,0)&amp;"")</f>
        <v/>
      </c>
      <c r="E1145" s="292" t="str">
        <f ca="1">IF(ISERROR($S1145),"",OFFSET('Smelter Reference List'!$D$4,$S1145-4,0)&amp;"")</f>
        <v/>
      </c>
      <c r="F1145" s="292" t="str">
        <f ca="1">IF(ISERROR($S1145),"",OFFSET('Smelter Reference List'!$E$4,$S1145-4,0))</f>
        <v/>
      </c>
      <c r="G1145" s="292" t="str">
        <f ca="1">IF(C1145=$U$4,"Enter smelter details", IF(ISERROR($S1145),"",OFFSET('Smelter Reference List'!$F$4,$S1145-4,0)))</f>
        <v/>
      </c>
      <c r="H1145" s="293" t="str">
        <f ca="1">IF(ISERROR($S1145),"",OFFSET('Smelter Reference List'!$G$4,$S1145-4,0))</f>
        <v/>
      </c>
      <c r="I1145" s="294" t="str">
        <f ca="1">IF(ISERROR($S1145),"",OFFSET('Smelter Reference List'!$H$4,$S1145-4,0))</f>
        <v/>
      </c>
      <c r="J1145" s="294" t="str">
        <f ca="1">IF(ISERROR($S1145),"",OFFSET('Smelter Reference List'!$I$4,$S1145-4,0))</f>
        <v/>
      </c>
      <c r="K1145" s="295"/>
      <c r="L1145" s="295"/>
      <c r="M1145" s="295"/>
      <c r="N1145" s="295"/>
      <c r="O1145" s="295"/>
      <c r="P1145" s="295"/>
      <c r="Q1145" s="296"/>
      <c r="R1145" s="227"/>
      <c r="S1145" s="228" t="e">
        <f>IF(C1145="",NA(),MATCH($B1145&amp;$C1145,'Smelter Reference List'!$J:$J,0))</f>
        <v>#N/A</v>
      </c>
      <c r="T1145" s="229"/>
      <c r="U1145" s="229">
        <f t="shared" ca="1" si="36"/>
        <v>0</v>
      </c>
      <c r="V1145" s="229"/>
      <c r="W1145" s="229"/>
      <c r="Y1145" s="223" t="str">
        <f t="shared" si="37"/>
        <v/>
      </c>
    </row>
    <row r="1146" spans="1:25" s="223" customFormat="1" ht="20.25">
      <c r="A1146" s="291"/>
      <c r="B1146" s="292" t="str">
        <f>IF(LEN(A1146)=0,"",INDEX('Smelter Reference List'!$A:$A,MATCH($A1146,'Smelter Reference List'!$E:$E,0)))</f>
        <v/>
      </c>
      <c r="C1146" s="298" t="str">
        <f>IF(LEN(A1146)=0,"",INDEX('Smelter Reference List'!$C:$C,MATCH($A1146,'Smelter Reference List'!$E:$E,0)))</f>
        <v/>
      </c>
      <c r="D1146" s="292" t="str">
        <f ca="1">IF(ISERROR($S1146),"",OFFSET('Smelter Reference List'!$C$4,$S1146-4,0)&amp;"")</f>
        <v/>
      </c>
      <c r="E1146" s="292" t="str">
        <f ca="1">IF(ISERROR($S1146),"",OFFSET('Smelter Reference List'!$D$4,$S1146-4,0)&amp;"")</f>
        <v/>
      </c>
      <c r="F1146" s="292" t="str">
        <f ca="1">IF(ISERROR($S1146),"",OFFSET('Smelter Reference List'!$E$4,$S1146-4,0))</f>
        <v/>
      </c>
      <c r="G1146" s="292" t="str">
        <f ca="1">IF(C1146=$U$4,"Enter smelter details", IF(ISERROR($S1146),"",OFFSET('Smelter Reference List'!$F$4,$S1146-4,0)))</f>
        <v/>
      </c>
      <c r="H1146" s="293" t="str">
        <f ca="1">IF(ISERROR($S1146),"",OFFSET('Smelter Reference List'!$G$4,$S1146-4,0))</f>
        <v/>
      </c>
      <c r="I1146" s="294" t="str">
        <f ca="1">IF(ISERROR($S1146),"",OFFSET('Smelter Reference List'!$H$4,$S1146-4,0))</f>
        <v/>
      </c>
      <c r="J1146" s="294" t="str">
        <f ca="1">IF(ISERROR($S1146),"",OFFSET('Smelter Reference List'!$I$4,$S1146-4,0))</f>
        <v/>
      </c>
      <c r="K1146" s="295"/>
      <c r="L1146" s="295"/>
      <c r="M1146" s="295"/>
      <c r="N1146" s="295"/>
      <c r="O1146" s="295"/>
      <c r="P1146" s="295"/>
      <c r="Q1146" s="296"/>
      <c r="R1146" s="227"/>
      <c r="S1146" s="228" t="e">
        <f>IF(C1146="",NA(),MATCH($B1146&amp;$C1146,'Smelter Reference List'!$J:$J,0))</f>
        <v>#N/A</v>
      </c>
      <c r="T1146" s="229"/>
      <c r="U1146" s="229">
        <f t="shared" ca="1" si="36"/>
        <v>0</v>
      </c>
      <c r="V1146" s="229"/>
      <c r="W1146" s="229"/>
      <c r="Y1146" s="223" t="str">
        <f t="shared" si="37"/>
        <v/>
      </c>
    </row>
    <row r="1147" spans="1:25" s="223" customFormat="1" ht="20.25">
      <c r="A1147" s="291"/>
      <c r="B1147" s="292" t="str">
        <f>IF(LEN(A1147)=0,"",INDEX('Smelter Reference List'!$A:$A,MATCH($A1147,'Smelter Reference List'!$E:$E,0)))</f>
        <v/>
      </c>
      <c r="C1147" s="298" t="str">
        <f>IF(LEN(A1147)=0,"",INDEX('Smelter Reference List'!$C:$C,MATCH($A1147,'Smelter Reference List'!$E:$E,0)))</f>
        <v/>
      </c>
      <c r="D1147" s="292" t="str">
        <f ca="1">IF(ISERROR($S1147),"",OFFSET('Smelter Reference List'!$C$4,$S1147-4,0)&amp;"")</f>
        <v/>
      </c>
      <c r="E1147" s="292" t="str">
        <f ca="1">IF(ISERROR($S1147),"",OFFSET('Smelter Reference List'!$D$4,$S1147-4,0)&amp;"")</f>
        <v/>
      </c>
      <c r="F1147" s="292" t="str">
        <f ca="1">IF(ISERROR($S1147),"",OFFSET('Smelter Reference List'!$E$4,$S1147-4,0))</f>
        <v/>
      </c>
      <c r="G1147" s="292" t="str">
        <f ca="1">IF(C1147=$U$4,"Enter smelter details", IF(ISERROR($S1147),"",OFFSET('Smelter Reference List'!$F$4,$S1147-4,0)))</f>
        <v/>
      </c>
      <c r="H1147" s="293" t="str">
        <f ca="1">IF(ISERROR($S1147),"",OFFSET('Smelter Reference List'!$G$4,$S1147-4,0))</f>
        <v/>
      </c>
      <c r="I1147" s="294" t="str">
        <f ca="1">IF(ISERROR($S1147),"",OFFSET('Smelter Reference List'!$H$4,$S1147-4,0))</f>
        <v/>
      </c>
      <c r="J1147" s="294" t="str">
        <f ca="1">IF(ISERROR($S1147),"",OFFSET('Smelter Reference List'!$I$4,$S1147-4,0))</f>
        <v/>
      </c>
      <c r="K1147" s="295"/>
      <c r="L1147" s="295"/>
      <c r="M1147" s="295"/>
      <c r="N1147" s="295"/>
      <c r="O1147" s="295"/>
      <c r="P1147" s="295"/>
      <c r="Q1147" s="296"/>
      <c r="R1147" s="227"/>
      <c r="S1147" s="228" t="e">
        <f>IF(C1147="",NA(),MATCH($B1147&amp;$C1147,'Smelter Reference List'!$J:$J,0))</f>
        <v>#N/A</v>
      </c>
      <c r="T1147" s="229"/>
      <c r="U1147" s="229">
        <f t="shared" ca="1" si="36"/>
        <v>0</v>
      </c>
      <c r="V1147" s="229"/>
      <c r="W1147" s="229"/>
      <c r="Y1147" s="223" t="str">
        <f t="shared" si="37"/>
        <v/>
      </c>
    </row>
    <row r="1148" spans="1:25" s="223" customFormat="1" ht="20.25">
      <c r="A1148" s="291"/>
      <c r="B1148" s="292" t="str">
        <f>IF(LEN(A1148)=0,"",INDEX('Smelter Reference List'!$A:$A,MATCH($A1148,'Smelter Reference List'!$E:$E,0)))</f>
        <v/>
      </c>
      <c r="C1148" s="298" t="str">
        <f>IF(LEN(A1148)=0,"",INDEX('Smelter Reference List'!$C:$C,MATCH($A1148,'Smelter Reference List'!$E:$E,0)))</f>
        <v/>
      </c>
      <c r="D1148" s="292" t="str">
        <f ca="1">IF(ISERROR($S1148),"",OFFSET('Smelter Reference List'!$C$4,$S1148-4,0)&amp;"")</f>
        <v/>
      </c>
      <c r="E1148" s="292" t="str">
        <f ca="1">IF(ISERROR($S1148),"",OFFSET('Smelter Reference List'!$D$4,$S1148-4,0)&amp;"")</f>
        <v/>
      </c>
      <c r="F1148" s="292" t="str">
        <f ca="1">IF(ISERROR($S1148),"",OFFSET('Smelter Reference List'!$E$4,$S1148-4,0))</f>
        <v/>
      </c>
      <c r="G1148" s="292" t="str">
        <f ca="1">IF(C1148=$U$4,"Enter smelter details", IF(ISERROR($S1148),"",OFFSET('Smelter Reference List'!$F$4,$S1148-4,0)))</f>
        <v/>
      </c>
      <c r="H1148" s="293" t="str">
        <f ca="1">IF(ISERROR($S1148),"",OFFSET('Smelter Reference List'!$G$4,$S1148-4,0))</f>
        <v/>
      </c>
      <c r="I1148" s="294" t="str">
        <f ca="1">IF(ISERROR($S1148),"",OFFSET('Smelter Reference List'!$H$4,$S1148-4,0))</f>
        <v/>
      </c>
      <c r="J1148" s="294" t="str">
        <f ca="1">IF(ISERROR($S1148),"",OFFSET('Smelter Reference List'!$I$4,$S1148-4,0))</f>
        <v/>
      </c>
      <c r="K1148" s="295"/>
      <c r="L1148" s="295"/>
      <c r="M1148" s="295"/>
      <c r="N1148" s="295"/>
      <c r="O1148" s="295"/>
      <c r="P1148" s="295"/>
      <c r="Q1148" s="296"/>
      <c r="R1148" s="227"/>
      <c r="S1148" s="228" t="e">
        <f>IF(C1148="",NA(),MATCH($B1148&amp;$C1148,'Smelter Reference List'!$J:$J,0))</f>
        <v>#N/A</v>
      </c>
      <c r="T1148" s="229"/>
      <c r="U1148" s="229">
        <f t="shared" ca="1" si="36"/>
        <v>0</v>
      </c>
      <c r="V1148" s="229"/>
      <c r="W1148" s="229"/>
      <c r="Y1148" s="223" t="str">
        <f t="shared" si="37"/>
        <v/>
      </c>
    </row>
    <row r="1149" spans="1:25" s="223" customFormat="1" ht="20.25">
      <c r="A1149" s="291"/>
      <c r="B1149" s="292" t="str">
        <f>IF(LEN(A1149)=0,"",INDEX('Smelter Reference List'!$A:$A,MATCH($A1149,'Smelter Reference List'!$E:$E,0)))</f>
        <v/>
      </c>
      <c r="C1149" s="298" t="str">
        <f>IF(LEN(A1149)=0,"",INDEX('Smelter Reference List'!$C:$C,MATCH($A1149,'Smelter Reference List'!$E:$E,0)))</f>
        <v/>
      </c>
      <c r="D1149" s="292" t="str">
        <f ca="1">IF(ISERROR($S1149),"",OFFSET('Smelter Reference List'!$C$4,$S1149-4,0)&amp;"")</f>
        <v/>
      </c>
      <c r="E1149" s="292" t="str">
        <f ca="1">IF(ISERROR($S1149),"",OFFSET('Smelter Reference List'!$D$4,$S1149-4,0)&amp;"")</f>
        <v/>
      </c>
      <c r="F1149" s="292" t="str">
        <f ca="1">IF(ISERROR($S1149),"",OFFSET('Smelter Reference List'!$E$4,$S1149-4,0))</f>
        <v/>
      </c>
      <c r="G1149" s="292" t="str">
        <f ca="1">IF(C1149=$U$4,"Enter smelter details", IF(ISERROR($S1149),"",OFFSET('Smelter Reference List'!$F$4,$S1149-4,0)))</f>
        <v/>
      </c>
      <c r="H1149" s="293" t="str">
        <f ca="1">IF(ISERROR($S1149),"",OFFSET('Smelter Reference List'!$G$4,$S1149-4,0))</f>
        <v/>
      </c>
      <c r="I1149" s="294" t="str">
        <f ca="1">IF(ISERROR($S1149),"",OFFSET('Smelter Reference List'!$H$4,$S1149-4,0))</f>
        <v/>
      </c>
      <c r="J1149" s="294" t="str">
        <f ca="1">IF(ISERROR($S1149),"",OFFSET('Smelter Reference List'!$I$4,$S1149-4,0))</f>
        <v/>
      </c>
      <c r="K1149" s="295"/>
      <c r="L1149" s="295"/>
      <c r="M1149" s="295"/>
      <c r="N1149" s="295"/>
      <c r="O1149" s="295"/>
      <c r="P1149" s="295"/>
      <c r="Q1149" s="296"/>
      <c r="R1149" s="227"/>
      <c r="S1149" s="228" t="e">
        <f>IF(C1149="",NA(),MATCH($B1149&amp;$C1149,'Smelter Reference List'!$J:$J,0))</f>
        <v>#N/A</v>
      </c>
      <c r="T1149" s="229"/>
      <c r="U1149" s="229">
        <f t="shared" ca="1" si="36"/>
        <v>0</v>
      </c>
      <c r="V1149" s="229"/>
      <c r="W1149" s="229"/>
      <c r="Y1149" s="223" t="str">
        <f t="shared" si="37"/>
        <v/>
      </c>
    </row>
    <row r="1150" spans="1:25" s="223" customFormat="1" ht="20.25">
      <c r="A1150" s="291"/>
      <c r="B1150" s="292" t="str">
        <f>IF(LEN(A1150)=0,"",INDEX('Smelter Reference List'!$A:$A,MATCH($A1150,'Smelter Reference List'!$E:$E,0)))</f>
        <v/>
      </c>
      <c r="C1150" s="298" t="str">
        <f>IF(LEN(A1150)=0,"",INDEX('Smelter Reference List'!$C:$C,MATCH($A1150,'Smelter Reference List'!$E:$E,0)))</f>
        <v/>
      </c>
      <c r="D1150" s="292" t="str">
        <f ca="1">IF(ISERROR($S1150),"",OFFSET('Smelter Reference List'!$C$4,$S1150-4,0)&amp;"")</f>
        <v/>
      </c>
      <c r="E1150" s="292" t="str">
        <f ca="1">IF(ISERROR($S1150),"",OFFSET('Smelter Reference List'!$D$4,$S1150-4,0)&amp;"")</f>
        <v/>
      </c>
      <c r="F1150" s="292" t="str">
        <f ca="1">IF(ISERROR($S1150),"",OFFSET('Smelter Reference List'!$E$4,$S1150-4,0))</f>
        <v/>
      </c>
      <c r="G1150" s="292" t="str">
        <f ca="1">IF(C1150=$U$4,"Enter smelter details", IF(ISERROR($S1150),"",OFFSET('Smelter Reference List'!$F$4,$S1150-4,0)))</f>
        <v/>
      </c>
      <c r="H1150" s="293" t="str">
        <f ca="1">IF(ISERROR($S1150),"",OFFSET('Smelter Reference List'!$G$4,$S1150-4,0))</f>
        <v/>
      </c>
      <c r="I1150" s="294" t="str">
        <f ca="1">IF(ISERROR($S1150),"",OFFSET('Smelter Reference List'!$H$4,$S1150-4,0))</f>
        <v/>
      </c>
      <c r="J1150" s="294" t="str">
        <f ca="1">IF(ISERROR($S1150),"",OFFSET('Smelter Reference List'!$I$4,$S1150-4,0))</f>
        <v/>
      </c>
      <c r="K1150" s="295"/>
      <c r="L1150" s="295"/>
      <c r="M1150" s="295"/>
      <c r="N1150" s="295"/>
      <c r="O1150" s="295"/>
      <c r="P1150" s="295"/>
      <c r="Q1150" s="296"/>
      <c r="R1150" s="227"/>
      <c r="S1150" s="228" t="e">
        <f>IF(C1150="",NA(),MATCH($B1150&amp;$C1150,'Smelter Reference List'!$J:$J,0))</f>
        <v>#N/A</v>
      </c>
      <c r="T1150" s="229"/>
      <c r="U1150" s="229">
        <f t="shared" ca="1" si="36"/>
        <v>0</v>
      </c>
      <c r="V1150" s="229"/>
      <c r="W1150" s="229"/>
      <c r="Y1150" s="223" t="str">
        <f t="shared" si="37"/>
        <v/>
      </c>
    </row>
    <row r="1151" spans="1:25" s="223" customFormat="1" ht="20.25">
      <c r="A1151" s="291"/>
      <c r="B1151" s="292" t="str">
        <f>IF(LEN(A1151)=0,"",INDEX('Smelter Reference List'!$A:$A,MATCH($A1151,'Smelter Reference List'!$E:$E,0)))</f>
        <v/>
      </c>
      <c r="C1151" s="298" t="str">
        <f>IF(LEN(A1151)=0,"",INDEX('Smelter Reference List'!$C:$C,MATCH($A1151,'Smelter Reference List'!$E:$E,0)))</f>
        <v/>
      </c>
      <c r="D1151" s="292" t="str">
        <f ca="1">IF(ISERROR($S1151),"",OFFSET('Smelter Reference List'!$C$4,$S1151-4,0)&amp;"")</f>
        <v/>
      </c>
      <c r="E1151" s="292" t="str">
        <f ca="1">IF(ISERROR($S1151),"",OFFSET('Smelter Reference List'!$D$4,$S1151-4,0)&amp;"")</f>
        <v/>
      </c>
      <c r="F1151" s="292" t="str">
        <f ca="1">IF(ISERROR($S1151),"",OFFSET('Smelter Reference List'!$E$4,$S1151-4,0))</f>
        <v/>
      </c>
      <c r="G1151" s="292" t="str">
        <f ca="1">IF(C1151=$U$4,"Enter smelter details", IF(ISERROR($S1151),"",OFFSET('Smelter Reference List'!$F$4,$S1151-4,0)))</f>
        <v/>
      </c>
      <c r="H1151" s="293" t="str">
        <f ca="1">IF(ISERROR($S1151),"",OFFSET('Smelter Reference List'!$G$4,$S1151-4,0))</f>
        <v/>
      </c>
      <c r="I1151" s="294" t="str">
        <f ca="1">IF(ISERROR($S1151),"",OFFSET('Smelter Reference List'!$H$4,$S1151-4,0))</f>
        <v/>
      </c>
      <c r="J1151" s="294" t="str">
        <f ca="1">IF(ISERROR($S1151),"",OFFSET('Smelter Reference List'!$I$4,$S1151-4,0))</f>
        <v/>
      </c>
      <c r="K1151" s="295"/>
      <c r="L1151" s="295"/>
      <c r="M1151" s="295"/>
      <c r="N1151" s="295"/>
      <c r="O1151" s="295"/>
      <c r="P1151" s="295"/>
      <c r="Q1151" s="296"/>
      <c r="R1151" s="227"/>
      <c r="S1151" s="228" t="e">
        <f>IF(C1151="",NA(),MATCH($B1151&amp;$C1151,'Smelter Reference List'!$J:$J,0))</f>
        <v>#N/A</v>
      </c>
      <c r="T1151" s="229"/>
      <c r="U1151" s="229">
        <f t="shared" ca="1" si="36"/>
        <v>0</v>
      </c>
      <c r="V1151" s="229"/>
      <c r="W1151" s="229"/>
      <c r="Y1151" s="223" t="str">
        <f t="shared" si="37"/>
        <v/>
      </c>
    </row>
    <row r="1152" spans="1:25" s="223" customFormat="1" ht="20.25">
      <c r="A1152" s="291"/>
      <c r="B1152" s="292" t="str">
        <f>IF(LEN(A1152)=0,"",INDEX('Smelter Reference List'!$A:$A,MATCH($A1152,'Smelter Reference List'!$E:$E,0)))</f>
        <v/>
      </c>
      <c r="C1152" s="298" t="str">
        <f>IF(LEN(A1152)=0,"",INDEX('Smelter Reference List'!$C:$C,MATCH($A1152,'Smelter Reference List'!$E:$E,0)))</f>
        <v/>
      </c>
      <c r="D1152" s="292" t="str">
        <f ca="1">IF(ISERROR($S1152),"",OFFSET('Smelter Reference List'!$C$4,$S1152-4,0)&amp;"")</f>
        <v/>
      </c>
      <c r="E1152" s="292" t="str">
        <f ca="1">IF(ISERROR($S1152),"",OFFSET('Smelter Reference List'!$D$4,$S1152-4,0)&amp;"")</f>
        <v/>
      </c>
      <c r="F1152" s="292" t="str">
        <f ca="1">IF(ISERROR($S1152),"",OFFSET('Smelter Reference List'!$E$4,$S1152-4,0))</f>
        <v/>
      </c>
      <c r="G1152" s="292" t="str">
        <f ca="1">IF(C1152=$U$4,"Enter smelter details", IF(ISERROR($S1152),"",OFFSET('Smelter Reference List'!$F$4,$S1152-4,0)))</f>
        <v/>
      </c>
      <c r="H1152" s="293" t="str">
        <f ca="1">IF(ISERROR($S1152),"",OFFSET('Smelter Reference List'!$G$4,$S1152-4,0))</f>
        <v/>
      </c>
      <c r="I1152" s="294" t="str">
        <f ca="1">IF(ISERROR($S1152),"",OFFSET('Smelter Reference List'!$H$4,$S1152-4,0))</f>
        <v/>
      </c>
      <c r="J1152" s="294" t="str">
        <f ca="1">IF(ISERROR($S1152),"",OFFSET('Smelter Reference List'!$I$4,$S1152-4,0))</f>
        <v/>
      </c>
      <c r="K1152" s="295"/>
      <c r="L1152" s="295"/>
      <c r="M1152" s="295"/>
      <c r="N1152" s="295"/>
      <c r="O1152" s="295"/>
      <c r="P1152" s="295"/>
      <c r="Q1152" s="296"/>
      <c r="R1152" s="227"/>
      <c r="S1152" s="228" t="e">
        <f>IF(C1152="",NA(),MATCH($B1152&amp;$C1152,'Smelter Reference List'!$J:$J,0))</f>
        <v>#N/A</v>
      </c>
      <c r="T1152" s="229"/>
      <c r="U1152" s="229">
        <f t="shared" ca="1" si="36"/>
        <v>0</v>
      </c>
      <c r="V1152" s="229"/>
      <c r="W1152" s="229"/>
      <c r="Y1152" s="223" t="str">
        <f t="shared" si="37"/>
        <v/>
      </c>
    </row>
    <row r="1153" spans="1:25" s="223" customFormat="1" ht="20.25">
      <c r="A1153" s="291"/>
      <c r="B1153" s="292" t="str">
        <f>IF(LEN(A1153)=0,"",INDEX('Smelter Reference List'!$A:$A,MATCH($A1153,'Smelter Reference List'!$E:$E,0)))</f>
        <v/>
      </c>
      <c r="C1153" s="298" t="str">
        <f>IF(LEN(A1153)=0,"",INDEX('Smelter Reference List'!$C:$C,MATCH($A1153,'Smelter Reference List'!$E:$E,0)))</f>
        <v/>
      </c>
      <c r="D1153" s="292" t="str">
        <f ca="1">IF(ISERROR($S1153),"",OFFSET('Smelter Reference List'!$C$4,$S1153-4,0)&amp;"")</f>
        <v/>
      </c>
      <c r="E1153" s="292" t="str">
        <f ca="1">IF(ISERROR($S1153),"",OFFSET('Smelter Reference List'!$D$4,$S1153-4,0)&amp;"")</f>
        <v/>
      </c>
      <c r="F1153" s="292" t="str">
        <f ca="1">IF(ISERROR($S1153),"",OFFSET('Smelter Reference List'!$E$4,$S1153-4,0))</f>
        <v/>
      </c>
      <c r="G1153" s="292" t="str">
        <f ca="1">IF(C1153=$U$4,"Enter smelter details", IF(ISERROR($S1153),"",OFFSET('Smelter Reference List'!$F$4,$S1153-4,0)))</f>
        <v/>
      </c>
      <c r="H1153" s="293" t="str">
        <f ca="1">IF(ISERROR($S1153),"",OFFSET('Smelter Reference List'!$G$4,$S1153-4,0))</f>
        <v/>
      </c>
      <c r="I1153" s="294" t="str">
        <f ca="1">IF(ISERROR($S1153),"",OFFSET('Smelter Reference List'!$H$4,$S1153-4,0))</f>
        <v/>
      </c>
      <c r="J1153" s="294" t="str">
        <f ca="1">IF(ISERROR($S1153),"",OFFSET('Smelter Reference List'!$I$4,$S1153-4,0))</f>
        <v/>
      </c>
      <c r="K1153" s="295"/>
      <c r="L1153" s="295"/>
      <c r="M1153" s="295"/>
      <c r="N1153" s="295"/>
      <c r="O1153" s="295"/>
      <c r="P1153" s="295"/>
      <c r="Q1153" s="296"/>
      <c r="R1153" s="227"/>
      <c r="S1153" s="228" t="e">
        <f>IF(C1153="",NA(),MATCH($B1153&amp;$C1153,'Smelter Reference List'!$J:$J,0))</f>
        <v>#N/A</v>
      </c>
      <c r="T1153" s="229"/>
      <c r="U1153" s="229">
        <f t="shared" ca="1" si="36"/>
        <v>0</v>
      </c>
      <c r="V1153" s="229"/>
      <c r="W1153" s="229"/>
      <c r="Y1153" s="223" t="str">
        <f t="shared" si="37"/>
        <v/>
      </c>
    </row>
    <row r="1154" spans="1:25" s="223" customFormat="1" ht="20.25">
      <c r="A1154" s="291"/>
      <c r="B1154" s="292" t="str">
        <f>IF(LEN(A1154)=0,"",INDEX('Smelter Reference List'!$A:$A,MATCH($A1154,'Smelter Reference List'!$E:$E,0)))</f>
        <v/>
      </c>
      <c r="C1154" s="298" t="str">
        <f>IF(LEN(A1154)=0,"",INDEX('Smelter Reference List'!$C:$C,MATCH($A1154,'Smelter Reference List'!$E:$E,0)))</f>
        <v/>
      </c>
      <c r="D1154" s="292" t="str">
        <f ca="1">IF(ISERROR($S1154),"",OFFSET('Smelter Reference List'!$C$4,$S1154-4,0)&amp;"")</f>
        <v/>
      </c>
      <c r="E1154" s="292" t="str">
        <f ca="1">IF(ISERROR($S1154),"",OFFSET('Smelter Reference List'!$D$4,$S1154-4,0)&amp;"")</f>
        <v/>
      </c>
      <c r="F1154" s="292" t="str">
        <f ca="1">IF(ISERROR($S1154),"",OFFSET('Smelter Reference List'!$E$4,$S1154-4,0))</f>
        <v/>
      </c>
      <c r="G1154" s="292" t="str">
        <f ca="1">IF(C1154=$U$4,"Enter smelter details", IF(ISERROR($S1154),"",OFFSET('Smelter Reference List'!$F$4,$S1154-4,0)))</f>
        <v/>
      </c>
      <c r="H1154" s="293" t="str">
        <f ca="1">IF(ISERROR($S1154),"",OFFSET('Smelter Reference List'!$G$4,$S1154-4,0))</f>
        <v/>
      </c>
      <c r="I1154" s="294" t="str">
        <f ca="1">IF(ISERROR($S1154),"",OFFSET('Smelter Reference List'!$H$4,$S1154-4,0))</f>
        <v/>
      </c>
      <c r="J1154" s="294" t="str">
        <f ca="1">IF(ISERROR($S1154),"",OFFSET('Smelter Reference List'!$I$4,$S1154-4,0))</f>
        <v/>
      </c>
      <c r="K1154" s="295"/>
      <c r="L1154" s="295"/>
      <c r="M1154" s="295"/>
      <c r="N1154" s="295"/>
      <c r="O1154" s="295"/>
      <c r="P1154" s="295"/>
      <c r="Q1154" s="296"/>
      <c r="R1154" s="227"/>
      <c r="S1154" s="228" t="e">
        <f>IF(C1154="",NA(),MATCH($B1154&amp;$C1154,'Smelter Reference List'!$J:$J,0))</f>
        <v>#N/A</v>
      </c>
      <c r="T1154" s="229"/>
      <c r="U1154" s="229">
        <f t="shared" ca="1" si="36"/>
        <v>0</v>
      </c>
      <c r="V1154" s="229"/>
      <c r="W1154" s="229"/>
      <c r="Y1154" s="223" t="str">
        <f t="shared" si="37"/>
        <v/>
      </c>
    </row>
    <row r="1155" spans="1:25" s="223" customFormat="1" ht="20.25">
      <c r="A1155" s="291"/>
      <c r="B1155" s="292" t="str">
        <f>IF(LEN(A1155)=0,"",INDEX('Smelter Reference List'!$A:$A,MATCH($A1155,'Smelter Reference List'!$E:$E,0)))</f>
        <v/>
      </c>
      <c r="C1155" s="298" t="str">
        <f>IF(LEN(A1155)=0,"",INDEX('Smelter Reference List'!$C:$C,MATCH($A1155,'Smelter Reference List'!$E:$E,0)))</f>
        <v/>
      </c>
      <c r="D1155" s="292" t="str">
        <f ca="1">IF(ISERROR($S1155),"",OFFSET('Smelter Reference List'!$C$4,$S1155-4,0)&amp;"")</f>
        <v/>
      </c>
      <c r="E1155" s="292" t="str">
        <f ca="1">IF(ISERROR($S1155),"",OFFSET('Smelter Reference List'!$D$4,$S1155-4,0)&amp;"")</f>
        <v/>
      </c>
      <c r="F1155" s="292" t="str">
        <f ca="1">IF(ISERROR($S1155),"",OFFSET('Smelter Reference List'!$E$4,$S1155-4,0))</f>
        <v/>
      </c>
      <c r="G1155" s="292" t="str">
        <f ca="1">IF(C1155=$U$4,"Enter smelter details", IF(ISERROR($S1155),"",OFFSET('Smelter Reference List'!$F$4,$S1155-4,0)))</f>
        <v/>
      </c>
      <c r="H1155" s="293" t="str">
        <f ca="1">IF(ISERROR($S1155),"",OFFSET('Smelter Reference List'!$G$4,$S1155-4,0))</f>
        <v/>
      </c>
      <c r="I1155" s="294" t="str">
        <f ca="1">IF(ISERROR($S1155),"",OFFSET('Smelter Reference List'!$H$4,$S1155-4,0))</f>
        <v/>
      </c>
      <c r="J1155" s="294" t="str">
        <f ca="1">IF(ISERROR($S1155),"",OFFSET('Smelter Reference List'!$I$4,$S1155-4,0))</f>
        <v/>
      </c>
      <c r="K1155" s="295"/>
      <c r="L1155" s="295"/>
      <c r="M1155" s="295"/>
      <c r="N1155" s="295"/>
      <c r="O1155" s="295"/>
      <c r="P1155" s="295"/>
      <c r="Q1155" s="296"/>
      <c r="R1155" s="227"/>
      <c r="S1155" s="228" t="e">
        <f>IF(C1155="",NA(),MATCH($B1155&amp;$C1155,'Smelter Reference List'!$J:$J,0))</f>
        <v>#N/A</v>
      </c>
      <c r="T1155" s="229"/>
      <c r="U1155" s="229">
        <f t="shared" ca="1" si="36"/>
        <v>0</v>
      </c>
      <c r="V1155" s="229"/>
      <c r="W1155" s="229"/>
      <c r="Y1155" s="223" t="str">
        <f t="shared" si="37"/>
        <v/>
      </c>
    </row>
    <row r="1156" spans="1:25" s="223" customFormat="1" ht="20.25">
      <c r="A1156" s="291"/>
      <c r="B1156" s="292" t="str">
        <f>IF(LEN(A1156)=0,"",INDEX('Smelter Reference List'!$A:$A,MATCH($A1156,'Smelter Reference List'!$E:$E,0)))</f>
        <v/>
      </c>
      <c r="C1156" s="298" t="str">
        <f>IF(LEN(A1156)=0,"",INDEX('Smelter Reference List'!$C:$C,MATCH($A1156,'Smelter Reference List'!$E:$E,0)))</f>
        <v/>
      </c>
      <c r="D1156" s="292" t="str">
        <f ca="1">IF(ISERROR($S1156),"",OFFSET('Smelter Reference List'!$C$4,$S1156-4,0)&amp;"")</f>
        <v/>
      </c>
      <c r="E1156" s="292" t="str">
        <f ca="1">IF(ISERROR($S1156),"",OFFSET('Smelter Reference List'!$D$4,$S1156-4,0)&amp;"")</f>
        <v/>
      </c>
      <c r="F1156" s="292" t="str">
        <f ca="1">IF(ISERROR($S1156),"",OFFSET('Smelter Reference List'!$E$4,$S1156-4,0))</f>
        <v/>
      </c>
      <c r="G1156" s="292" t="str">
        <f ca="1">IF(C1156=$U$4,"Enter smelter details", IF(ISERROR($S1156),"",OFFSET('Smelter Reference List'!$F$4,$S1156-4,0)))</f>
        <v/>
      </c>
      <c r="H1156" s="293" t="str">
        <f ca="1">IF(ISERROR($S1156),"",OFFSET('Smelter Reference List'!$G$4,$S1156-4,0))</f>
        <v/>
      </c>
      <c r="I1156" s="294" t="str">
        <f ca="1">IF(ISERROR($S1156),"",OFFSET('Smelter Reference List'!$H$4,$S1156-4,0))</f>
        <v/>
      </c>
      <c r="J1156" s="294" t="str">
        <f ca="1">IF(ISERROR($S1156),"",OFFSET('Smelter Reference List'!$I$4,$S1156-4,0))</f>
        <v/>
      </c>
      <c r="K1156" s="295"/>
      <c r="L1156" s="295"/>
      <c r="M1156" s="295"/>
      <c r="N1156" s="295"/>
      <c r="O1156" s="295"/>
      <c r="P1156" s="295"/>
      <c r="Q1156" s="296"/>
      <c r="R1156" s="227"/>
      <c r="S1156" s="228" t="e">
        <f>IF(C1156="",NA(),MATCH($B1156&amp;$C1156,'Smelter Reference List'!$J:$J,0))</f>
        <v>#N/A</v>
      </c>
      <c r="T1156" s="229"/>
      <c r="U1156" s="229">
        <f t="shared" ca="1" si="36"/>
        <v>0</v>
      </c>
      <c r="V1156" s="229"/>
      <c r="W1156" s="229"/>
      <c r="Y1156" s="223" t="str">
        <f t="shared" si="37"/>
        <v/>
      </c>
    </row>
    <row r="1157" spans="1:25" s="223" customFormat="1" ht="20.25">
      <c r="A1157" s="291"/>
      <c r="B1157" s="292" t="str">
        <f>IF(LEN(A1157)=0,"",INDEX('Smelter Reference List'!$A:$A,MATCH($A1157,'Smelter Reference List'!$E:$E,0)))</f>
        <v/>
      </c>
      <c r="C1157" s="298" t="str">
        <f>IF(LEN(A1157)=0,"",INDEX('Smelter Reference List'!$C:$C,MATCH($A1157,'Smelter Reference List'!$E:$E,0)))</f>
        <v/>
      </c>
      <c r="D1157" s="292" t="str">
        <f ca="1">IF(ISERROR($S1157),"",OFFSET('Smelter Reference List'!$C$4,$S1157-4,0)&amp;"")</f>
        <v/>
      </c>
      <c r="E1157" s="292" t="str">
        <f ca="1">IF(ISERROR($S1157),"",OFFSET('Smelter Reference List'!$D$4,$S1157-4,0)&amp;"")</f>
        <v/>
      </c>
      <c r="F1157" s="292" t="str">
        <f ca="1">IF(ISERROR($S1157),"",OFFSET('Smelter Reference List'!$E$4,$S1157-4,0))</f>
        <v/>
      </c>
      <c r="G1157" s="292" t="str">
        <f ca="1">IF(C1157=$U$4,"Enter smelter details", IF(ISERROR($S1157),"",OFFSET('Smelter Reference List'!$F$4,$S1157-4,0)))</f>
        <v/>
      </c>
      <c r="H1157" s="293" t="str">
        <f ca="1">IF(ISERROR($S1157),"",OFFSET('Smelter Reference List'!$G$4,$S1157-4,0))</f>
        <v/>
      </c>
      <c r="I1157" s="294" t="str">
        <f ca="1">IF(ISERROR($S1157),"",OFFSET('Smelter Reference List'!$H$4,$S1157-4,0))</f>
        <v/>
      </c>
      <c r="J1157" s="294" t="str">
        <f ca="1">IF(ISERROR($S1157),"",OFFSET('Smelter Reference List'!$I$4,$S1157-4,0))</f>
        <v/>
      </c>
      <c r="K1157" s="295"/>
      <c r="L1157" s="295"/>
      <c r="M1157" s="295"/>
      <c r="N1157" s="295"/>
      <c r="O1157" s="295"/>
      <c r="P1157" s="295"/>
      <c r="Q1157" s="296"/>
      <c r="R1157" s="227"/>
      <c r="S1157" s="228" t="e">
        <f>IF(C1157="",NA(),MATCH($B1157&amp;$C1157,'Smelter Reference List'!$J:$J,0))</f>
        <v>#N/A</v>
      </c>
      <c r="T1157" s="229"/>
      <c r="U1157" s="229">
        <f t="shared" ref="U1157:U1220" ca="1" si="38">IF(AND(C1157="Smelter not listed",OR(LEN(D1157)=0,LEN(E1157)=0)),1,0)</f>
        <v>0</v>
      </c>
      <c r="V1157" s="229"/>
      <c r="W1157" s="229"/>
      <c r="Y1157" s="223" t="str">
        <f t="shared" ref="Y1157:Y1220" si="39">B1157&amp;C1157</f>
        <v/>
      </c>
    </row>
    <row r="1158" spans="1:25" s="223" customFormat="1" ht="20.25">
      <c r="A1158" s="291"/>
      <c r="B1158" s="292" t="str">
        <f>IF(LEN(A1158)=0,"",INDEX('Smelter Reference List'!$A:$A,MATCH($A1158,'Smelter Reference List'!$E:$E,0)))</f>
        <v/>
      </c>
      <c r="C1158" s="298" t="str">
        <f>IF(LEN(A1158)=0,"",INDEX('Smelter Reference List'!$C:$C,MATCH($A1158,'Smelter Reference List'!$E:$E,0)))</f>
        <v/>
      </c>
      <c r="D1158" s="292" t="str">
        <f ca="1">IF(ISERROR($S1158),"",OFFSET('Smelter Reference List'!$C$4,$S1158-4,0)&amp;"")</f>
        <v/>
      </c>
      <c r="E1158" s="292" t="str">
        <f ca="1">IF(ISERROR($S1158),"",OFFSET('Smelter Reference List'!$D$4,$S1158-4,0)&amp;"")</f>
        <v/>
      </c>
      <c r="F1158" s="292" t="str">
        <f ca="1">IF(ISERROR($S1158),"",OFFSET('Smelter Reference List'!$E$4,$S1158-4,0))</f>
        <v/>
      </c>
      <c r="G1158" s="292" t="str">
        <f ca="1">IF(C1158=$U$4,"Enter smelter details", IF(ISERROR($S1158),"",OFFSET('Smelter Reference List'!$F$4,$S1158-4,0)))</f>
        <v/>
      </c>
      <c r="H1158" s="293" t="str">
        <f ca="1">IF(ISERROR($S1158),"",OFFSET('Smelter Reference List'!$G$4,$S1158-4,0))</f>
        <v/>
      </c>
      <c r="I1158" s="294" t="str">
        <f ca="1">IF(ISERROR($S1158),"",OFFSET('Smelter Reference List'!$H$4,$S1158-4,0))</f>
        <v/>
      </c>
      <c r="J1158" s="294" t="str">
        <f ca="1">IF(ISERROR($S1158),"",OFFSET('Smelter Reference List'!$I$4,$S1158-4,0))</f>
        <v/>
      </c>
      <c r="K1158" s="295"/>
      <c r="L1158" s="295"/>
      <c r="M1158" s="295"/>
      <c r="N1158" s="295"/>
      <c r="O1158" s="295"/>
      <c r="P1158" s="295"/>
      <c r="Q1158" s="296"/>
      <c r="R1158" s="227"/>
      <c r="S1158" s="228" t="e">
        <f>IF(C1158="",NA(),MATCH($B1158&amp;$C1158,'Smelter Reference List'!$J:$J,0))</f>
        <v>#N/A</v>
      </c>
      <c r="T1158" s="229"/>
      <c r="U1158" s="229">
        <f t="shared" ca="1" si="38"/>
        <v>0</v>
      </c>
      <c r="V1158" s="229"/>
      <c r="W1158" s="229"/>
      <c r="Y1158" s="223" t="str">
        <f t="shared" si="39"/>
        <v/>
      </c>
    </row>
    <row r="1159" spans="1:25" s="223" customFormat="1" ht="20.25">
      <c r="A1159" s="291"/>
      <c r="B1159" s="292" t="str">
        <f>IF(LEN(A1159)=0,"",INDEX('Smelter Reference List'!$A:$A,MATCH($A1159,'Smelter Reference List'!$E:$E,0)))</f>
        <v/>
      </c>
      <c r="C1159" s="298" t="str">
        <f>IF(LEN(A1159)=0,"",INDEX('Smelter Reference List'!$C:$C,MATCH($A1159,'Smelter Reference List'!$E:$E,0)))</f>
        <v/>
      </c>
      <c r="D1159" s="292" t="str">
        <f ca="1">IF(ISERROR($S1159),"",OFFSET('Smelter Reference List'!$C$4,$S1159-4,0)&amp;"")</f>
        <v/>
      </c>
      <c r="E1159" s="292" t="str">
        <f ca="1">IF(ISERROR($S1159),"",OFFSET('Smelter Reference List'!$D$4,$S1159-4,0)&amp;"")</f>
        <v/>
      </c>
      <c r="F1159" s="292" t="str">
        <f ca="1">IF(ISERROR($S1159),"",OFFSET('Smelter Reference List'!$E$4,$S1159-4,0))</f>
        <v/>
      </c>
      <c r="G1159" s="292" t="str">
        <f ca="1">IF(C1159=$U$4,"Enter smelter details", IF(ISERROR($S1159),"",OFFSET('Smelter Reference List'!$F$4,$S1159-4,0)))</f>
        <v/>
      </c>
      <c r="H1159" s="293" t="str">
        <f ca="1">IF(ISERROR($S1159),"",OFFSET('Smelter Reference List'!$G$4,$S1159-4,0))</f>
        <v/>
      </c>
      <c r="I1159" s="294" t="str">
        <f ca="1">IF(ISERROR($S1159),"",OFFSET('Smelter Reference List'!$H$4,$S1159-4,0))</f>
        <v/>
      </c>
      <c r="J1159" s="294" t="str">
        <f ca="1">IF(ISERROR($S1159),"",OFFSET('Smelter Reference List'!$I$4,$S1159-4,0))</f>
        <v/>
      </c>
      <c r="K1159" s="295"/>
      <c r="L1159" s="295"/>
      <c r="M1159" s="295"/>
      <c r="N1159" s="295"/>
      <c r="O1159" s="295"/>
      <c r="P1159" s="295"/>
      <c r="Q1159" s="296"/>
      <c r="R1159" s="227"/>
      <c r="S1159" s="228" t="e">
        <f>IF(C1159="",NA(),MATCH($B1159&amp;$C1159,'Smelter Reference List'!$J:$J,0))</f>
        <v>#N/A</v>
      </c>
      <c r="T1159" s="229"/>
      <c r="U1159" s="229">
        <f t="shared" ca="1" si="38"/>
        <v>0</v>
      </c>
      <c r="V1159" s="229"/>
      <c r="W1159" s="229"/>
      <c r="Y1159" s="223" t="str">
        <f t="shared" si="39"/>
        <v/>
      </c>
    </row>
    <row r="1160" spans="1:25" s="223" customFormat="1" ht="20.25">
      <c r="A1160" s="291"/>
      <c r="B1160" s="292" t="str">
        <f>IF(LEN(A1160)=0,"",INDEX('Smelter Reference List'!$A:$A,MATCH($A1160,'Smelter Reference List'!$E:$E,0)))</f>
        <v/>
      </c>
      <c r="C1160" s="298" t="str">
        <f>IF(LEN(A1160)=0,"",INDEX('Smelter Reference List'!$C:$C,MATCH($A1160,'Smelter Reference List'!$E:$E,0)))</f>
        <v/>
      </c>
      <c r="D1160" s="292" t="str">
        <f ca="1">IF(ISERROR($S1160),"",OFFSET('Smelter Reference List'!$C$4,$S1160-4,0)&amp;"")</f>
        <v/>
      </c>
      <c r="E1160" s="292" t="str">
        <f ca="1">IF(ISERROR($S1160),"",OFFSET('Smelter Reference List'!$D$4,$S1160-4,0)&amp;"")</f>
        <v/>
      </c>
      <c r="F1160" s="292" t="str">
        <f ca="1">IF(ISERROR($S1160),"",OFFSET('Smelter Reference List'!$E$4,$S1160-4,0))</f>
        <v/>
      </c>
      <c r="G1160" s="292" t="str">
        <f ca="1">IF(C1160=$U$4,"Enter smelter details", IF(ISERROR($S1160),"",OFFSET('Smelter Reference List'!$F$4,$S1160-4,0)))</f>
        <v/>
      </c>
      <c r="H1160" s="293" t="str">
        <f ca="1">IF(ISERROR($S1160),"",OFFSET('Smelter Reference List'!$G$4,$S1160-4,0))</f>
        <v/>
      </c>
      <c r="I1160" s="294" t="str">
        <f ca="1">IF(ISERROR($S1160),"",OFFSET('Smelter Reference List'!$H$4,$S1160-4,0))</f>
        <v/>
      </c>
      <c r="J1160" s="294" t="str">
        <f ca="1">IF(ISERROR($S1160),"",OFFSET('Smelter Reference List'!$I$4,$S1160-4,0))</f>
        <v/>
      </c>
      <c r="K1160" s="295"/>
      <c r="L1160" s="295"/>
      <c r="M1160" s="295"/>
      <c r="N1160" s="295"/>
      <c r="O1160" s="295"/>
      <c r="P1160" s="295"/>
      <c r="Q1160" s="296"/>
      <c r="R1160" s="227"/>
      <c r="S1160" s="228" t="e">
        <f>IF(C1160="",NA(),MATCH($B1160&amp;$C1160,'Smelter Reference List'!$J:$J,0))</f>
        <v>#N/A</v>
      </c>
      <c r="T1160" s="229"/>
      <c r="U1160" s="229">
        <f t="shared" ca="1" si="38"/>
        <v>0</v>
      </c>
      <c r="V1160" s="229"/>
      <c r="W1160" s="229"/>
      <c r="Y1160" s="223" t="str">
        <f t="shared" si="39"/>
        <v/>
      </c>
    </row>
    <row r="1161" spans="1:25" s="223" customFormat="1" ht="20.25">
      <c r="A1161" s="291"/>
      <c r="B1161" s="292" t="str">
        <f>IF(LEN(A1161)=0,"",INDEX('Smelter Reference List'!$A:$A,MATCH($A1161,'Smelter Reference List'!$E:$E,0)))</f>
        <v/>
      </c>
      <c r="C1161" s="298" t="str">
        <f>IF(LEN(A1161)=0,"",INDEX('Smelter Reference List'!$C:$C,MATCH($A1161,'Smelter Reference List'!$E:$E,0)))</f>
        <v/>
      </c>
      <c r="D1161" s="292" t="str">
        <f ca="1">IF(ISERROR($S1161),"",OFFSET('Smelter Reference List'!$C$4,$S1161-4,0)&amp;"")</f>
        <v/>
      </c>
      <c r="E1161" s="292" t="str">
        <f ca="1">IF(ISERROR($S1161),"",OFFSET('Smelter Reference List'!$D$4,$S1161-4,0)&amp;"")</f>
        <v/>
      </c>
      <c r="F1161" s="292" t="str">
        <f ca="1">IF(ISERROR($S1161),"",OFFSET('Smelter Reference List'!$E$4,$S1161-4,0))</f>
        <v/>
      </c>
      <c r="G1161" s="292" t="str">
        <f ca="1">IF(C1161=$U$4,"Enter smelter details", IF(ISERROR($S1161),"",OFFSET('Smelter Reference List'!$F$4,$S1161-4,0)))</f>
        <v/>
      </c>
      <c r="H1161" s="293" t="str">
        <f ca="1">IF(ISERROR($S1161),"",OFFSET('Smelter Reference List'!$G$4,$S1161-4,0))</f>
        <v/>
      </c>
      <c r="I1161" s="294" t="str">
        <f ca="1">IF(ISERROR($S1161),"",OFFSET('Smelter Reference List'!$H$4,$S1161-4,0))</f>
        <v/>
      </c>
      <c r="J1161" s="294" t="str">
        <f ca="1">IF(ISERROR($S1161),"",OFFSET('Smelter Reference List'!$I$4,$S1161-4,0))</f>
        <v/>
      </c>
      <c r="K1161" s="295"/>
      <c r="L1161" s="295"/>
      <c r="M1161" s="295"/>
      <c r="N1161" s="295"/>
      <c r="O1161" s="295"/>
      <c r="P1161" s="295"/>
      <c r="Q1161" s="296"/>
      <c r="R1161" s="227"/>
      <c r="S1161" s="228" t="e">
        <f>IF(C1161="",NA(),MATCH($B1161&amp;$C1161,'Smelter Reference List'!$J:$J,0))</f>
        <v>#N/A</v>
      </c>
      <c r="T1161" s="229"/>
      <c r="U1161" s="229">
        <f t="shared" ca="1" si="38"/>
        <v>0</v>
      </c>
      <c r="V1161" s="229"/>
      <c r="W1161" s="229"/>
      <c r="Y1161" s="223" t="str">
        <f t="shared" si="39"/>
        <v/>
      </c>
    </row>
    <row r="1162" spans="1:25" s="223" customFormat="1" ht="20.25">
      <c r="A1162" s="291"/>
      <c r="B1162" s="292" t="str">
        <f>IF(LEN(A1162)=0,"",INDEX('Smelter Reference List'!$A:$A,MATCH($A1162,'Smelter Reference List'!$E:$E,0)))</f>
        <v/>
      </c>
      <c r="C1162" s="298" t="str">
        <f>IF(LEN(A1162)=0,"",INDEX('Smelter Reference List'!$C:$C,MATCH($A1162,'Smelter Reference List'!$E:$E,0)))</f>
        <v/>
      </c>
      <c r="D1162" s="292" t="str">
        <f ca="1">IF(ISERROR($S1162),"",OFFSET('Smelter Reference List'!$C$4,$S1162-4,0)&amp;"")</f>
        <v/>
      </c>
      <c r="E1162" s="292" t="str">
        <f ca="1">IF(ISERROR($S1162),"",OFFSET('Smelter Reference List'!$D$4,$S1162-4,0)&amp;"")</f>
        <v/>
      </c>
      <c r="F1162" s="292" t="str">
        <f ca="1">IF(ISERROR($S1162),"",OFFSET('Smelter Reference List'!$E$4,$S1162-4,0))</f>
        <v/>
      </c>
      <c r="G1162" s="292" t="str">
        <f ca="1">IF(C1162=$U$4,"Enter smelter details", IF(ISERROR($S1162),"",OFFSET('Smelter Reference List'!$F$4,$S1162-4,0)))</f>
        <v/>
      </c>
      <c r="H1162" s="293" t="str">
        <f ca="1">IF(ISERROR($S1162),"",OFFSET('Smelter Reference List'!$G$4,$S1162-4,0))</f>
        <v/>
      </c>
      <c r="I1162" s="294" t="str">
        <f ca="1">IF(ISERROR($S1162),"",OFFSET('Smelter Reference List'!$H$4,$S1162-4,0))</f>
        <v/>
      </c>
      <c r="J1162" s="294" t="str">
        <f ca="1">IF(ISERROR($S1162),"",OFFSET('Smelter Reference List'!$I$4,$S1162-4,0))</f>
        <v/>
      </c>
      <c r="K1162" s="295"/>
      <c r="L1162" s="295"/>
      <c r="M1162" s="295"/>
      <c r="N1162" s="295"/>
      <c r="O1162" s="295"/>
      <c r="P1162" s="295"/>
      <c r="Q1162" s="296"/>
      <c r="R1162" s="227"/>
      <c r="S1162" s="228" t="e">
        <f>IF(C1162="",NA(),MATCH($B1162&amp;$C1162,'Smelter Reference List'!$J:$J,0))</f>
        <v>#N/A</v>
      </c>
      <c r="T1162" s="229"/>
      <c r="U1162" s="229">
        <f t="shared" ca="1" si="38"/>
        <v>0</v>
      </c>
      <c r="V1162" s="229"/>
      <c r="W1162" s="229"/>
      <c r="Y1162" s="223" t="str">
        <f t="shared" si="39"/>
        <v/>
      </c>
    </row>
    <row r="1163" spans="1:25" s="223" customFormat="1" ht="20.25">
      <c r="A1163" s="291"/>
      <c r="B1163" s="292" t="str">
        <f>IF(LEN(A1163)=0,"",INDEX('Smelter Reference List'!$A:$A,MATCH($A1163,'Smelter Reference List'!$E:$E,0)))</f>
        <v/>
      </c>
      <c r="C1163" s="298" t="str">
        <f>IF(LEN(A1163)=0,"",INDEX('Smelter Reference List'!$C:$C,MATCH($A1163,'Smelter Reference List'!$E:$E,0)))</f>
        <v/>
      </c>
      <c r="D1163" s="292" t="str">
        <f ca="1">IF(ISERROR($S1163),"",OFFSET('Smelter Reference List'!$C$4,$S1163-4,0)&amp;"")</f>
        <v/>
      </c>
      <c r="E1163" s="292" t="str">
        <f ca="1">IF(ISERROR($S1163),"",OFFSET('Smelter Reference List'!$D$4,$S1163-4,0)&amp;"")</f>
        <v/>
      </c>
      <c r="F1163" s="292" t="str">
        <f ca="1">IF(ISERROR($S1163),"",OFFSET('Smelter Reference List'!$E$4,$S1163-4,0))</f>
        <v/>
      </c>
      <c r="G1163" s="292" t="str">
        <f ca="1">IF(C1163=$U$4,"Enter smelter details", IF(ISERROR($S1163),"",OFFSET('Smelter Reference List'!$F$4,$S1163-4,0)))</f>
        <v/>
      </c>
      <c r="H1163" s="293" t="str">
        <f ca="1">IF(ISERROR($S1163),"",OFFSET('Smelter Reference List'!$G$4,$S1163-4,0))</f>
        <v/>
      </c>
      <c r="I1163" s="294" t="str">
        <f ca="1">IF(ISERROR($S1163),"",OFFSET('Smelter Reference List'!$H$4,$S1163-4,0))</f>
        <v/>
      </c>
      <c r="J1163" s="294" t="str">
        <f ca="1">IF(ISERROR($S1163),"",OFFSET('Smelter Reference List'!$I$4,$S1163-4,0))</f>
        <v/>
      </c>
      <c r="K1163" s="295"/>
      <c r="L1163" s="295"/>
      <c r="M1163" s="295"/>
      <c r="N1163" s="295"/>
      <c r="O1163" s="295"/>
      <c r="P1163" s="295"/>
      <c r="Q1163" s="296"/>
      <c r="R1163" s="227"/>
      <c r="S1163" s="228" t="e">
        <f>IF(C1163="",NA(),MATCH($B1163&amp;$C1163,'Smelter Reference List'!$J:$J,0))</f>
        <v>#N/A</v>
      </c>
      <c r="T1163" s="229"/>
      <c r="U1163" s="229">
        <f t="shared" ca="1" si="38"/>
        <v>0</v>
      </c>
      <c r="V1163" s="229"/>
      <c r="W1163" s="229"/>
      <c r="Y1163" s="223" t="str">
        <f t="shared" si="39"/>
        <v/>
      </c>
    </row>
    <row r="1164" spans="1:25" s="223" customFormat="1" ht="20.25">
      <c r="A1164" s="291"/>
      <c r="B1164" s="292" t="str">
        <f>IF(LEN(A1164)=0,"",INDEX('Smelter Reference List'!$A:$A,MATCH($A1164,'Smelter Reference List'!$E:$E,0)))</f>
        <v/>
      </c>
      <c r="C1164" s="298" t="str">
        <f>IF(LEN(A1164)=0,"",INDEX('Smelter Reference List'!$C:$C,MATCH($A1164,'Smelter Reference List'!$E:$E,0)))</f>
        <v/>
      </c>
      <c r="D1164" s="292" t="str">
        <f ca="1">IF(ISERROR($S1164),"",OFFSET('Smelter Reference List'!$C$4,$S1164-4,0)&amp;"")</f>
        <v/>
      </c>
      <c r="E1164" s="292" t="str">
        <f ca="1">IF(ISERROR($S1164),"",OFFSET('Smelter Reference List'!$D$4,$S1164-4,0)&amp;"")</f>
        <v/>
      </c>
      <c r="F1164" s="292" t="str">
        <f ca="1">IF(ISERROR($S1164),"",OFFSET('Smelter Reference List'!$E$4,$S1164-4,0))</f>
        <v/>
      </c>
      <c r="G1164" s="292" t="str">
        <f ca="1">IF(C1164=$U$4,"Enter smelter details", IF(ISERROR($S1164),"",OFFSET('Smelter Reference List'!$F$4,$S1164-4,0)))</f>
        <v/>
      </c>
      <c r="H1164" s="293" t="str">
        <f ca="1">IF(ISERROR($S1164),"",OFFSET('Smelter Reference List'!$G$4,$S1164-4,0))</f>
        <v/>
      </c>
      <c r="I1164" s="294" t="str">
        <f ca="1">IF(ISERROR($S1164),"",OFFSET('Smelter Reference List'!$H$4,$S1164-4,0))</f>
        <v/>
      </c>
      <c r="J1164" s="294" t="str">
        <f ca="1">IF(ISERROR($S1164),"",OFFSET('Smelter Reference List'!$I$4,$S1164-4,0))</f>
        <v/>
      </c>
      <c r="K1164" s="295"/>
      <c r="L1164" s="295"/>
      <c r="M1164" s="295"/>
      <c r="N1164" s="295"/>
      <c r="O1164" s="295"/>
      <c r="P1164" s="295"/>
      <c r="Q1164" s="296"/>
      <c r="R1164" s="227"/>
      <c r="S1164" s="228" t="e">
        <f>IF(C1164="",NA(),MATCH($B1164&amp;$C1164,'Smelter Reference List'!$J:$J,0))</f>
        <v>#N/A</v>
      </c>
      <c r="T1164" s="229"/>
      <c r="U1164" s="229">
        <f t="shared" ca="1" si="38"/>
        <v>0</v>
      </c>
      <c r="V1164" s="229"/>
      <c r="W1164" s="229"/>
      <c r="Y1164" s="223" t="str">
        <f t="shared" si="39"/>
        <v/>
      </c>
    </row>
    <row r="1165" spans="1:25" s="223" customFormat="1" ht="20.25">
      <c r="A1165" s="291"/>
      <c r="B1165" s="292" t="str">
        <f>IF(LEN(A1165)=0,"",INDEX('Smelter Reference List'!$A:$A,MATCH($A1165,'Smelter Reference List'!$E:$E,0)))</f>
        <v/>
      </c>
      <c r="C1165" s="298" t="str">
        <f>IF(LEN(A1165)=0,"",INDEX('Smelter Reference List'!$C:$C,MATCH($A1165,'Smelter Reference List'!$E:$E,0)))</f>
        <v/>
      </c>
      <c r="D1165" s="292" t="str">
        <f ca="1">IF(ISERROR($S1165),"",OFFSET('Smelter Reference List'!$C$4,$S1165-4,0)&amp;"")</f>
        <v/>
      </c>
      <c r="E1165" s="292" t="str">
        <f ca="1">IF(ISERROR($S1165),"",OFFSET('Smelter Reference List'!$D$4,$S1165-4,0)&amp;"")</f>
        <v/>
      </c>
      <c r="F1165" s="292" t="str">
        <f ca="1">IF(ISERROR($S1165),"",OFFSET('Smelter Reference List'!$E$4,$S1165-4,0))</f>
        <v/>
      </c>
      <c r="G1165" s="292" t="str">
        <f ca="1">IF(C1165=$U$4,"Enter smelter details", IF(ISERROR($S1165),"",OFFSET('Smelter Reference List'!$F$4,$S1165-4,0)))</f>
        <v/>
      </c>
      <c r="H1165" s="293" t="str">
        <f ca="1">IF(ISERROR($S1165),"",OFFSET('Smelter Reference List'!$G$4,$S1165-4,0))</f>
        <v/>
      </c>
      <c r="I1165" s="294" t="str">
        <f ca="1">IF(ISERROR($S1165),"",OFFSET('Smelter Reference List'!$H$4,$S1165-4,0))</f>
        <v/>
      </c>
      <c r="J1165" s="294" t="str">
        <f ca="1">IF(ISERROR($S1165),"",OFFSET('Smelter Reference List'!$I$4,$S1165-4,0))</f>
        <v/>
      </c>
      <c r="K1165" s="295"/>
      <c r="L1165" s="295"/>
      <c r="M1165" s="295"/>
      <c r="N1165" s="295"/>
      <c r="O1165" s="295"/>
      <c r="P1165" s="295"/>
      <c r="Q1165" s="296"/>
      <c r="R1165" s="227"/>
      <c r="S1165" s="228" t="e">
        <f>IF(C1165="",NA(),MATCH($B1165&amp;$C1165,'Smelter Reference List'!$J:$J,0))</f>
        <v>#N/A</v>
      </c>
      <c r="T1165" s="229"/>
      <c r="U1165" s="229">
        <f t="shared" ca="1" si="38"/>
        <v>0</v>
      </c>
      <c r="V1165" s="229"/>
      <c r="W1165" s="229"/>
      <c r="Y1165" s="223" t="str">
        <f t="shared" si="39"/>
        <v/>
      </c>
    </row>
    <row r="1166" spans="1:25" s="223" customFormat="1" ht="20.25">
      <c r="A1166" s="291"/>
      <c r="B1166" s="292" t="str">
        <f>IF(LEN(A1166)=0,"",INDEX('Smelter Reference List'!$A:$A,MATCH($A1166,'Smelter Reference List'!$E:$E,0)))</f>
        <v/>
      </c>
      <c r="C1166" s="298" t="str">
        <f>IF(LEN(A1166)=0,"",INDEX('Smelter Reference List'!$C:$C,MATCH($A1166,'Smelter Reference List'!$E:$E,0)))</f>
        <v/>
      </c>
      <c r="D1166" s="292" t="str">
        <f ca="1">IF(ISERROR($S1166),"",OFFSET('Smelter Reference List'!$C$4,$S1166-4,0)&amp;"")</f>
        <v/>
      </c>
      <c r="E1166" s="292" t="str">
        <f ca="1">IF(ISERROR($S1166),"",OFFSET('Smelter Reference List'!$D$4,$S1166-4,0)&amp;"")</f>
        <v/>
      </c>
      <c r="F1166" s="292" t="str">
        <f ca="1">IF(ISERROR($S1166),"",OFFSET('Smelter Reference List'!$E$4,$S1166-4,0))</f>
        <v/>
      </c>
      <c r="G1166" s="292" t="str">
        <f ca="1">IF(C1166=$U$4,"Enter smelter details", IF(ISERROR($S1166),"",OFFSET('Smelter Reference List'!$F$4,$S1166-4,0)))</f>
        <v/>
      </c>
      <c r="H1166" s="293" t="str">
        <f ca="1">IF(ISERROR($S1166),"",OFFSET('Smelter Reference List'!$G$4,$S1166-4,0))</f>
        <v/>
      </c>
      <c r="I1166" s="294" t="str">
        <f ca="1">IF(ISERROR($S1166),"",OFFSET('Smelter Reference List'!$H$4,$S1166-4,0))</f>
        <v/>
      </c>
      <c r="J1166" s="294" t="str">
        <f ca="1">IF(ISERROR($S1166),"",OFFSET('Smelter Reference List'!$I$4,$S1166-4,0))</f>
        <v/>
      </c>
      <c r="K1166" s="295"/>
      <c r="L1166" s="295"/>
      <c r="M1166" s="295"/>
      <c r="N1166" s="295"/>
      <c r="O1166" s="295"/>
      <c r="P1166" s="295"/>
      <c r="Q1166" s="296"/>
      <c r="R1166" s="227"/>
      <c r="S1166" s="228" t="e">
        <f>IF(C1166="",NA(),MATCH($B1166&amp;$C1166,'Smelter Reference List'!$J:$J,0))</f>
        <v>#N/A</v>
      </c>
      <c r="T1166" s="229"/>
      <c r="U1166" s="229">
        <f t="shared" ca="1" si="38"/>
        <v>0</v>
      </c>
      <c r="V1166" s="229"/>
      <c r="W1166" s="229"/>
      <c r="Y1166" s="223" t="str">
        <f t="shared" si="39"/>
        <v/>
      </c>
    </row>
    <row r="1167" spans="1:25" s="223" customFormat="1" ht="20.25">
      <c r="A1167" s="291"/>
      <c r="B1167" s="292" t="str">
        <f>IF(LEN(A1167)=0,"",INDEX('Smelter Reference List'!$A:$A,MATCH($A1167,'Smelter Reference List'!$E:$E,0)))</f>
        <v/>
      </c>
      <c r="C1167" s="298" t="str">
        <f>IF(LEN(A1167)=0,"",INDEX('Smelter Reference List'!$C:$C,MATCH($A1167,'Smelter Reference List'!$E:$E,0)))</f>
        <v/>
      </c>
      <c r="D1167" s="292" t="str">
        <f ca="1">IF(ISERROR($S1167),"",OFFSET('Smelter Reference List'!$C$4,$S1167-4,0)&amp;"")</f>
        <v/>
      </c>
      <c r="E1167" s="292" t="str">
        <f ca="1">IF(ISERROR($S1167),"",OFFSET('Smelter Reference List'!$D$4,$S1167-4,0)&amp;"")</f>
        <v/>
      </c>
      <c r="F1167" s="292" t="str">
        <f ca="1">IF(ISERROR($S1167),"",OFFSET('Smelter Reference List'!$E$4,$S1167-4,0))</f>
        <v/>
      </c>
      <c r="G1167" s="292" t="str">
        <f ca="1">IF(C1167=$U$4,"Enter smelter details", IF(ISERROR($S1167),"",OFFSET('Smelter Reference List'!$F$4,$S1167-4,0)))</f>
        <v/>
      </c>
      <c r="H1167" s="293" t="str">
        <f ca="1">IF(ISERROR($S1167),"",OFFSET('Smelter Reference List'!$G$4,$S1167-4,0))</f>
        <v/>
      </c>
      <c r="I1167" s="294" t="str">
        <f ca="1">IF(ISERROR($S1167),"",OFFSET('Smelter Reference List'!$H$4,$S1167-4,0))</f>
        <v/>
      </c>
      <c r="J1167" s="294" t="str">
        <f ca="1">IF(ISERROR($S1167),"",OFFSET('Smelter Reference List'!$I$4,$S1167-4,0))</f>
        <v/>
      </c>
      <c r="K1167" s="295"/>
      <c r="L1167" s="295"/>
      <c r="M1167" s="295"/>
      <c r="N1167" s="295"/>
      <c r="O1167" s="295"/>
      <c r="P1167" s="295"/>
      <c r="Q1167" s="296"/>
      <c r="R1167" s="227"/>
      <c r="S1167" s="228" t="e">
        <f>IF(C1167="",NA(),MATCH($B1167&amp;$C1167,'Smelter Reference List'!$J:$J,0))</f>
        <v>#N/A</v>
      </c>
      <c r="T1167" s="229"/>
      <c r="U1167" s="229">
        <f t="shared" ca="1" si="38"/>
        <v>0</v>
      </c>
      <c r="V1167" s="229"/>
      <c r="W1167" s="229"/>
      <c r="Y1167" s="223" t="str">
        <f t="shared" si="39"/>
        <v/>
      </c>
    </row>
    <row r="1168" spans="1:25" s="223" customFormat="1" ht="20.25">
      <c r="A1168" s="291"/>
      <c r="B1168" s="292" t="str">
        <f>IF(LEN(A1168)=0,"",INDEX('Smelter Reference List'!$A:$A,MATCH($A1168,'Smelter Reference List'!$E:$E,0)))</f>
        <v/>
      </c>
      <c r="C1168" s="298" t="str">
        <f>IF(LEN(A1168)=0,"",INDEX('Smelter Reference List'!$C:$C,MATCH($A1168,'Smelter Reference List'!$E:$E,0)))</f>
        <v/>
      </c>
      <c r="D1168" s="292" t="str">
        <f ca="1">IF(ISERROR($S1168),"",OFFSET('Smelter Reference List'!$C$4,$S1168-4,0)&amp;"")</f>
        <v/>
      </c>
      <c r="E1168" s="292" t="str">
        <f ca="1">IF(ISERROR($S1168),"",OFFSET('Smelter Reference List'!$D$4,$S1168-4,0)&amp;"")</f>
        <v/>
      </c>
      <c r="F1168" s="292" t="str">
        <f ca="1">IF(ISERROR($S1168),"",OFFSET('Smelter Reference List'!$E$4,$S1168-4,0))</f>
        <v/>
      </c>
      <c r="G1168" s="292" t="str">
        <f ca="1">IF(C1168=$U$4,"Enter smelter details", IF(ISERROR($S1168),"",OFFSET('Smelter Reference List'!$F$4,$S1168-4,0)))</f>
        <v/>
      </c>
      <c r="H1168" s="293" t="str">
        <f ca="1">IF(ISERROR($S1168),"",OFFSET('Smelter Reference List'!$G$4,$S1168-4,0))</f>
        <v/>
      </c>
      <c r="I1168" s="294" t="str">
        <f ca="1">IF(ISERROR($S1168),"",OFFSET('Smelter Reference List'!$H$4,$S1168-4,0))</f>
        <v/>
      </c>
      <c r="J1168" s="294" t="str">
        <f ca="1">IF(ISERROR($S1168),"",OFFSET('Smelter Reference List'!$I$4,$S1168-4,0))</f>
        <v/>
      </c>
      <c r="K1168" s="295"/>
      <c r="L1168" s="295"/>
      <c r="M1168" s="295"/>
      <c r="N1168" s="295"/>
      <c r="O1168" s="295"/>
      <c r="P1168" s="295"/>
      <c r="Q1168" s="296"/>
      <c r="R1168" s="227"/>
      <c r="S1168" s="228" t="e">
        <f>IF(C1168="",NA(),MATCH($B1168&amp;$C1168,'Smelter Reference List'!$J:$J,0))</f>
        <v>#N/A</v>
      </c>
      <c r="T1168" s="229"/>
      <c r="U1168" s="229">
        <f t="shared" ca="1" si="38"/>
        <v>0</v>
      </c>
      <c r="V1168" s="229"/>
      <c r="W1168" s="229"/>
      <c r="Y1168" s="223" t="str">
        <f t="shared" si="39"/>
        <v/>
      </c>
    </row>
    <row r="1169" spans="1:25" s="223" customFormat="1" ht="20.25">
      <c r="A1169" s="291"/>
      <c r="B1169" s="292" t="str">
        <f>IF(LEN(A1169)=0,"",INDEX('Smelter Reference List'!$A:$A,MATCH($A1169,'Smelter Reference List'!$E:$E,0)))</f>
        <v/>
      </c>
      <c r="C1169" s="298" t="str">
        <f>IF(LEN(A1169)=0,"",INDEX('Smelter Reference List'!$C:$C,MATCH($A1169,'Smelter Reference List'!$E:$E,0)))</f>
        <v/>
      </c>
      <c r="D1169" s="292" t="str">
        <f ca="1">IF(ISERROR($S1169),"",OFFSET('Smelter Reference List'!$C$4,$S1169-4,0)&amp;"")</f>
        <v/>
      </c>
      <c r="E1169" s="292" t="str">
        <f ca="1">IF(ISERROR($S1169),"",OFFSET('Smelter Reference List'!$D$4,$S1169-4,0)&amp;"")</f>
        <v/>
      </c>
      <c r="F1169" s="292" t="str">
        <f ca="1">IF(ISERROR($S1169),"",OFFSET('Smelter Reference List'!$E$4,$S1169-4,0))</f>
        <v/>
      </c>
      <c r="G1169" s="292" t="str">
        <f ca="1">IF(C1169=$U$4,"Enter smelter details", IF(ISERROR($S1169),"",OFFSET('Smelter Reference List'!$F$4,$S1169-4,0)))</f>
        <v/>
      </c>
      <c r="H1169" s="293" t="str">
        <f ca="1">IF(ISERROR($S1169),"",OFFSET('Smelter Reference List'!$G$4,$S1169-4,0))</f>
        <v/>
      </c>
      <c r="I1169" s="294" t="str">
        <f ca="1">IF(ISERROR($S1169),"",OFFSET('Smelter Reference List'!$H$4,$S1169-4,0))</f>
        <v/>
      </c>
      <c r="J1169" s="294" t="str">
        <f ca="1">IF(ISERROR($S1169),"",OFFSET('Smelter Reference List'!$I$4,$S1169-4,0))</f>
        <v/>
      </c>
      <c r="K1169" s="295"/>
      <c r="L1169" s="295"/>
      <c r="M1169" s="295"/>
      <c r="N1169" s="295"/>
      <c r="O1169" s="295"/>
      <c r="P1169" s="295"/>
      <c r="Q1169" s="296"/>
      <c r="R1169" s="227"/>
      <c r="S1169" s="228" t="e">
        <f>IF(C1169="",NA(),MATCH($B1169&amp;$C1169,'Smelter Reference List'!$J:$J,0))</f>
        <v>#N/A</v>
      </c>
      <c r="T1169" s="229"/>
      <c r="U1169" s="229">
        <f t="shared" ca="1" si="38"/>
        <v>0</v>
      </c>
      <c r="V1169" s="229"/>
      <c r="W1169" s="229"/>
      <c r="Y1169" s="223" t="str">
        <f t="shared" si="39"/>
        <v/>
      </c>
    </row>
    <row r="1170" spans="1:25" s="223" customFormat="1" ht="20.25">
      <c r="A1170" s="291"/>
      <c r="B1170" s="292" t="str">
        <f>IF(LEN(A1170)=0,"",INDEX('Smelter Reference List'!$A:$A,MATCH($A1170,'Smelter Reference List'!$E:$E,0)))</f>
        <v/>
      </c>
      <c r="C1170" s="298" t="str">
        <f>IF(LEN(A1170)=0,"",INDEX('Smelter Reference List'!$C:$C,MATCH($A1170,'Smelter Reference List'!$E:$E,0)))</f>
        <v/>
      </c>
      <c r="D1170" s="292" t="str">
        <f ca="1">IF(ISERROR($S1170),"",OFFSET('Smelter Reference List'!$C$4,$S1170-4,0)&amp;"")</f>
        <v/>
      </c>
      <c r="E1170" s="292" t="str">
        <f ca="1">IF(ISERROR($S1170),"",OFFSET('Smelter Reference List'!$D$4,$S1170-4,0)&amp;"")</f>
        <v/>
      </c>
      <c r="F1170" s="292" t="str">
        <f ca="1">IF(ISERROR($S1170),"",OFFSET('Smelter Reference List'!$E$4,$S1170-4,0))</f>
        <v/>
      </c>
      <c r="G1170" s="292" t="str">
        <f ca="1">IF(C1170=$U$4,"Enter smelter details", IF(ISERROR($S1170),"",OFFSET('Smelter Reference List'!$F$4,$S1170-4,0)))</f>
        <v/>
      </c>
      <c r="H1170" s="293" t="str">
        <f ca="1">IF(ISERROR($S1170),"",OFFSET('Smelter Reference List'!$G$4,$S1170-4,0))</f>
        <v/>
      </c>
      <c r="I1170" s="294" t="str">
        <f ca="1">IF(ISERROR($S1170),"",OFFSET('Smelter Reference List'!$H$4,$S1170-4,0))</f>
        <v/>
      </c>
      <c r="J1170" s="294" t="str">
        <f ca="1">IF(ISERROR($S1170),"",OFFSET('Smelter Reference List'!$I$4,$S1170-4,0))</f>
        <v/>
      </c>
      <c r="K1170" s="295"/>
      <c r="L1170" s="295"/>
      <c r="M1170" s="295"/>
      <c r="N1170" s="295"/>
      <c r="O1170" s="295"/>
      <c r="P1170" s="295"/>
      <c r="Q1170" s="296"/>
      <c r="R1170" s="227"/>
      <c r="S1170" s="228" t="e">
        <f>IF(C1170="",NA(),MATCH($B1170&amp;$C1170,'Smelter Reference List'!$J:$J,0))</f>
        <v>#N/A</v>
      </c>
      <c r="T1170" s="229"/>
      <c r="U1170" s="229">
        <f t="shared" ca="1" si="38"/>
        <v>0</v>
      </c>
      <c r="V1170" s="229"/>
      <c r="W1170" s="229"/>
      <c r="Y1170" s="223" t="str">
        <f t="shared" si="39"/>
        <v/>
      </c>
    </row>
    <row r="1171" spans="1:25" s="223" customFormat="1" ht="20.25">
      <c r="A1171" s="291"/>
      <c r="B1171" s="292" t="str">
        <f>IF(LEN(A1171)=0,"",INDEX('Smelter Reference List'!$A:$A,MATCH($A1171,'Smelter Reference List'!$E:$E,0)))</f>
        <v/>
      </c>
      <c r="C1171" s="298" t="str">
        <f>IF(LEN(A1171)=0,"",INDEX('Smelter Reference List'!$C:$C,MATCH($A1171,'Smelter Reference List'!$E:$E,0)))</f>
        <v/>
      </c>
      <c r="D1171" s="292" t="str">
        <f ca="1">IF(ISERROR($S1171),"",OFFSET('Smelter Reference List'!$C$4,$S1171-4,0)&amp;"")</f>
        <v/>
      </c>
      <c r="E1171" s="292" t="str">
        <f ca="1">IF(ISERROR($S1171),"",OFFSET('Smelter Reference List'!$D$4,$S1171-4,0)&amp;"")</f>
        <v/>
      </c>
      <c r="F1171" s="292" t="str">
        <f ca="1">IF(ISERROR($S1171),"",OFFSET('Smelter Reference List'!$E$4,$S1171-4,0))</f>
        <v/>
      </c>
      <c r="G1171" s="292" t="str">
        <f ca="1">IF(C1171=$U$4,"Enter smelter details", IF(ISERROR($S1171),"",OFFSET('Smelter Reference List'!$F$4,$S1171-4,0)))</f>
        <v/>
      </c>
      <c r="H1171" s="293" t="str">
        <f ca="1">IF(ISERROR($S1171),"",OFFSET('Smelter Reference List'!$G$4,$S1171-4,0))</f>
        <v/>
      </c>
      <c r="I1171" s="294" t="str">
        <f ca="1">IF(ISERROR($S1171),"",OFFSET('Smelter Reference List'!$H$4,$S1171-4,0))</f>
        <v/>
      </c>
      <c r="J1171" s="294" t="str">
        <f ca="1">IF(ISERROR($S1171),"",OFFSET('Smelter Reference List'!$I$4,$S1171-4,0))</f>
        <v/>
      </c>
      <c r="K1171" s="295"/>
      <c r="L1171" s="295"/>
      <c r="M1171" s="295"/>
      <c r="N1171" s="295"/>
      <c r="O1171" s="295"/>
      <c r="P1171" s="295"/>
      <c r="Q1171" s="296"/>
      <c r="R1171" s="227"/>
      <c r="S1171" s="228" t="e">
        <f>IF(C1171="",NA(),MATCH($B1171&amp;$C1171,'Smelter Reference List'!$J:$J,0))</f>
        <v>#N/A</v>
      </c>
      <c r="T1171" s="229"/>
      <c r="U1171" s="229">
        <f t="shared" ca="1" si="38"/>
        <v>0</v>
      </c>
      <c r="V1171" s="229"/>
      <c r="W1171" s="229"/>
      <c r="Y1171" s="223" t="str">
        <f t="shared" si="39"/>
        <v/>
      </c>
    </row>
    <row r="1172" spans="1:25" s="223" customFormat="1" ht="20.25">
      <c r="A1172" s="291"/>
      <c r="B1172" s="292" t="str">
        <f>IF(LEN(A1172)=0,"",INDEX('Smelter Reference List'!$A:$A,MATCH($A1172,'Smelter Reference List'!$E:$E,0)))</f>
        <v/>
      </c>
      <c r="C1172" s="298" t="str">
        <f>IF(LEN(A1172)=0,"",INDEX('Smelter Reference List'!$C:$C,MATCH($A1172,'Smelter Reference List'!$E:$E,0)))</f>
        <v/>
      </c>
      <c r="D1172" s="292" t="str">
        <f ca="1">IF(ISERROR($S1172),"",OFFSET('Smelter Reference List'!$C$4,$S1172-4,0)&amp;"")</f>
        <v/>
      </c>
      <c r="E1172" s="292" t="str">
        <f ca="1">IF(ISERROR($S1172),"",OFFSET('Smelter Reference List'!$D$4,$S1172-4,0)&amp;"")</f>
        <v/>
      </c>
      <c r="F1172" s="292" t="str">
        <f ca="1">IF(ISERROR($S1172),"",OFFSET('Smelter Reference List'!$E$4,$S1172-4,0))</f>
        <v/>
      </c>
      <c r="G1172" s="292" t="str">
        <f ca="1">IF(C1172=$U$4,"Enter smelter details", IF(ISERROR($S1172),"",OFFSET('Smelter Reference List'!$F$4,$S1172-4,0)))</f>
        <v/>
      </c>
      <c r="H1172" s="293" t="str">
        <f ca="1">IF(ISERROR($S1172),"",OFFSET('Smelter Reference List'!$G$4,$S1172-4,0))</f>
        <v/>
      </c>
      <c r="I1172" s="294" t="str">
        <f ca="1">IF(ISERROR($S1172),"",OFFSET('Smelter Reference List'!$H$4,$S1172-4,0))</f>
        <v/>
      </c>
      <c r="J1172" s="294" t="str">
        <f ca="1">IF(ISERROR($S1172),"",OFFSET('Smelter Reference List'!$I$4,$S1172-4,0))</f>
        <v/>
      </c>
      <c r="K1172" s="295"/>
      <c r="L1172" s="295"/>
      <c r="M1172" s="295"/>
      <c r="N1172" s="295"/>
      <c r="O1172" s="295"/>
      <c r="P1172" s="295"/>
      <c r="Q1172" s="296"/>
      <c r="R1172" s="227"/>
      <c r="S1172" s="228" t="e">
        <f>IF(C1172="",NA(),MATCH($B1172&amp;$C1172,'Smelter Reference List'!$J:$J,0))</f>
        <v>#N/A</v>
      </c>
      <c r="T1172" s="229"/>
      <c r="U1172" s="229">
        <f t="shared" ca="1" si="38"/>
        <v>0</v>
      </c>
      <c r="V1172" s="229"/>
      <c r="W1172" s="229"/>
      <c r="Y1172" s="223" t="str">
        <f t="shared" si="39"/>
        <v/>
      </c>
    </row>
    <row r="1173" spans="1:25" s="223" customFormat="1" ht="20.25">
      <c r="A1173" s="291"/>
      <c r="B1173" s="292" t="str">
        <f>IF(LEN(A1173)=0,"",INDEX('Smelter Reference List'!$A:$A,MATCH($A1173,'Smelter Reference List'!$E:$E,0)))</f>
        <v/>
      </c>
      <c r="C1173" s="298" t="str">
        <f>IF(LEN(A1173)=0,"",INDEX('Smelter Reference List'!$C:$C,MATCH($A1173,'Smelter Reference List'!$E:$E,0)))</f>
        <v/>
      </c>
      <c r="D1173" s="292" t="str">
        <f ca="1">IF(ISERROR($S1173),"",OFFSET('Smelter Reference List'!$C$4,$S1173-4,0)&amp;"")</f>
        <v/>
      </c>
      <c r="E1173" s="292" t="str">
        <f ca="1">IF(ISERROR($S1173),"",OFFSET('Smelter Reference List'!$D$4,$S1173-4,0)&amp;"")</f>
        <v/>
      </c>
      <c r="F1173" s="292" t="str">
        <f ca="1">IF(ISERROR($S1173),"",OFFSET('Smelter Reference List'!$E$4,$S1173-4,0))</f>
        <v/>
      </c>
      <c r="G1173" s="292" t="str">
        <f ca="1">IF(C1173=$U$4,"Enter smelter details", IF(ISERROR($S1173),"",OFFSET('Smelter Reference List'!$F$4,$S1173-4,0)))</f>
        <v/>
      </c>
      <c r="H1173" s="293" t="str">
        <f ca="1">IF(ISERROR($S1173),"",OFFSET('Smelter Reference List'!$G$4,$S1173-4,0))</f>
        <v/>
      </c>
      <c r="I1173" s="294" t="str">
        <f ca="1">IF(ISERROR($S1173),"",OFFSET('Smelter Reference List'!$H$4,$S1173-4,0))</f>
        <v/>
      </c>
      <c r="J1173" s="294" t="str">
        <f ca="1">IF(ISERROR($S1173),"",OFFSET('Smelter Reference List'!$I$4,$S1173-4,0))</f>
        <v/>
      </c>
      <c r="K1173" s="295"/>
      <c r="L1173" s="295"/>
      <c r="M1173" s="295"/>
      <c r="N1173" s="295"/>
      <c r="O1173" s="295"/>
      <c r="P1173" s="295"/>
      <c r="Q1173" s="296"/>
      <c r="R1173" s="227"/>
      <c r="S1173" s="228" t="e">
        <f>IF(C1173="",NA(),MATCH($B1173&amp;$C1173,'Smelter Reference List'!$J:$J,0))</f>
        <v>#N/A</v>
      </c>
      <c r="T1173" s="229"/>
      <c r="U1173" s="229">
        <f t="shared" ca="1" si="38"/>
        <v>0</v>
      </c>
      <c r="V1173" s="229"/>
      <c r="W1173" s="229"/>
      <c r="Y1173" s="223" t="str">
        <f t="shared" si="39"/>
        <v/>
      </c>
    </row>
    <row r="1174" spans="1:25" s="223" customFormat="1" ht="20.25">
      <c r="A1174" s="291"/>
      <c r="B1174" s="292" t="str">
        <f>IF(LEN(A1174)=0,"",INDEX('Smelter Reference List'!$A:$A,MATCH($A1174,'Smelter Reference List'!$E:$E,0)))</f>
        <v/>
      </c>
      <c r="C1174" s="298" t="str">
        <f>IF(LEN(A1174)=0,"",INDEX('Smelter Reference List'!$C:$C,MATCH($A1174,'Smelter Reference List'!$E:$E,0)))</f>
        <v/>
      </c>
      <c r="D1174" s="292" t="str">
        <f ca="1">IF(ISERROR($S1174),"",OFFSET('Smelter Reference List'!$C$4,$S1174-4,0)&amp;"")</f>
        <v/>
      </c>
      <c r="E1174" s="292" t="str">
        <f ca="1">IF(ISERROR($S1174),"",OFFSET('Smelter Reference List'!$D$4,$S1174-4,0)&amp;"")</f>
        <v/>
      </c>
      <c r="F1174" s="292" t="str">
        <f ca="1">IF(ISERROR($S1174),"",OFFSET('Smelter Reference List'!$E$4,$S1174-4,0))</f>
        <v/>
      </c>
      <c r="G1174" s="292" t="str">
        <f ca="1">IF(C1174=$U$4,"Enter smelter details", IF(ISERROR($S1174),"",OFFSET('Smelter Reference List'!$F$4,$S1174-4,0)))</f>
        <v/>
      </c>
      <c r="H1174" s="293" t="str">
        <f ca="1">IF(ISERROR($S1174),"",OFFSET('Smelter Reference List'!$G$4,$S1174-4,0))</f>
        <v/>
      </c>
      <c r="I1174" s="294" t="str">
        <f ca="1">IF(ISERROR($S1174),"",OFFSET('Smelter Reference List'!$H$4,$S1174-4,0))</f>
        <v/>
      </c>
      <c r="J1174" s="294" t="str">
        <f ca="1">IF(ISERROR($S1174),"",OFFSET('Smelter Reference List'!$I$4,$S1174-4,0))</f>
        <v/>
      </c>
      <c r="K1174" s="295"/>
      <c r="L1174" s="295"/>
      <c r="M1174" s="295"/>
      <c r="N1174" s="295"/>
      <c r="O1174" s="295"/>
      <c r="P1174" s="295"/>
      <c r="Q1174" s="296"/>
      <c r="R1174" s="227"/>
      <c r="S1174" s="228" t="e">
        <f>IF(C1174="",NA(),MATCH($B1174&amp;$C1174,'Smelter Reference List'!$J:$J,0))</f>
        <v>#N/A</v>
      </c>
      <c r="T1174" s="229"/>
      <c r="U1174" s="229">
        <f t="shared" ca="1" si="38"/>
        <v>0</v>
      </c>
      <c r="V1174" s="229"/>
      <c r="W1174" s="229"/>
      <c r="Y1174" s="223" t="str">
        <f t="shared" si="39"/>
        <v/>
      </c>
    </row>
    <row r="1175" spans="1:25" s="223" customFormat="1" ht="20.25">
      <c r="A1175" s="291"/>
      <c r="B1175" s="292" t="str">
        <f>IF(LEN(A1175)=0,"",INDEX('Smelter Reference List'!$A:$A,MATCH($A1175,'Smelter Reference List'!$E:$E,0)))</f>
        <v/>
      </c>
      <c r="C1175" s="298" t="str">
        <f>IF(LEN(A1175)=0,"",INDEX('Smelter Reference List'!$C:$C,MATCH($A1175,'Smelter Reference List'!$E:$E,0)))</f>
        <v/>
      </c>
      <c r="D1175" s="292" t="str">
        <f ca="1">IF(ISERROR($S1175),"",OFFSET('Smelter Reference List'!$C$4,$S1175-4,0)&amp;"")</f>
        <v/>
      </c>
      <c r="E1175" s="292" t="str">
        <f ca="1">IF(ISERROR($S1175),"",OFFSET('Smelter Reference List'!$D$4,$S1175-4,0)&amp;"")</f>
        <v/>
      </c>
      <c r="F1175" s="292" t="str">
        <f ca="1">IF(ISERROR($S1175),"",OFFSET('Smelter Reference List'!$E$4,$S1175-4,0))</f>
        <v/>
      </c>
      <c r="G1175" s="292" t="str">
        <f ca="1">IF(C1175=$U$4,"Enter smelter details", IF(ISERROR($S1175),"",OFFSET('Smelter Reference List'!$F$4,$S1175-4,0)))</f>
        <v/>
      </c>
      <c r="H1175" s="293" t="str">
        <f ca="1">IF(ISERROR($S1175),"",OFFSET('Smelter Reference List'!$G$4,$S1175-4,0))</f>
        <v/>
      </c>
      <c r="I1175" s="294" t="str">
        <f ca="1">IF(ISERROR($S1175),"",OFFSET('Smelter Reference List'!$H$4,$S1175-4,0))</f>
        <v/>
      </c>
      <c r="J1175" s="294" t="str">
        <f ca="1">IF(ISERROR($S1175),"",OFFSET('Smelter Reference List'!$I$4,$S1175-4,0))</f>
        <v/>
      </c>
      <c r="K1175" s="295"/>
      <c r="L1175" s="295"/>
      <c r="M1175" s="295"/>
      <c r="N1175" s="295"/>
      <c r="O1175" s="295"/>
      <c r="P1175" s="295"/>
      <c r="Q1175" s="296"/>
      <c r="R1175" s="227"/>
      <c r="S1175" s="228" t="e">
        <f>IF(C1175="",NA(),MATCH($B1175&amp;$C1175,'Smelter Reference List'!$J:$J,0))</f>
        <v>#N/A</v>
      </c>
      <c r="T1175" s="229"/>
      <c r="U1175" s="229">
        <f t="shared" ca="1" si="38"/>
        <v>0</v>
      </c>
      <c r="V1175" s="229"/>
      <c r="W1175" s="229"/>
      <c r="Y1175" s="223" t="str">
        <f t="shared" si="39"/>
        <v/>
      </c>
    </row>
    <row r="1176" spans="1:25" s="223" customFormat="1" ht="20.25">
      <c r="A1176" s="291"/>
      <c r="B1176" s="292" t="str">
        <f>IF(LEN(A1176)=0,"",INDEX('Smelter Reference List'!$A:$A,MATCH($A1176,'Smelter Reference List'!$E:$E,0)))</f>
        <v/>
      </c>
      <c r="C1176" s="298" t="str">
        <f>IF(LEN(A1176)=0,"",INDEX('Smelter Reference List'!$C:$C,MATCH($A1176,'Smelter Reference List'!$E:$E,0)))</f>
        <v/>
      </c>
      <c r="D1176" s="292" t="str">
        <f ca="1">IF(ISERROR($S1176),"",OFFSET('Smelter Reference List'!$C$4,$S1176-4,0)&amp;"")</f>
        <v/>
      </c>
      <c r="E1176" s="292" t="str">
        <f ca="1">IF(ISERROR($S1176),"",OFFSET('Smelter Reference List'!$D$4,$S1176-4,0)&amp;"")</f>
        <v/>
      </c>
      <c r="F1176" s="292" t="str">
        <f ca="1">IF(ISERROR($S1176),"",OFFSET('Smelter Reference List'!$E$4,$S1176-4,0))</f>
        <v/>
      </c>
      <c r="G1176" s="292" t="str">
        <f ca="1">IF(C1176=$U$4,"Enter smelter details", IF(ISERROR($S1176),"",OFFSET('Smelter Reference List'!$F$4,$S1176-4,0)))</f>
        <v/>
      </c>
      <c r="H1176" s="293" t="str">
        <f ca="1">IF(ISERROR($S1176),"",OFFSET('Smelter Reference List'!$G$4,$S1176-4,0))</f>
        <v/>
      </c>
      <c r="I1176" s="294" t="str">
        <f ca="1">IF(ISERROR($S1176),"",OFFSET('Smelter Reference List'!$H$4,$S1176-4,0))</f>
        <v/>
      </c>
      <c r="J1176" s="294" t="str">
        <f ca="1">IF(ISERROR($S1176),"",OFFSET('Smelter Reference List'!$I$4,$S1176-4,0))</f>
        <v/>
      </c>
      <c r="K1176" s="295"/>
      <c r="L1176" s="295"/>
      <c r="M1176" s="295"/>
      <c r="N1176" s="295"/>
      <c r="O1176" s="295"/>
      <c r="P1176" s="295"/>
      <c r="Q1176" s="296"/>
      <c r="R1176" s="227"/>
      <c r="S1176" s="228" t="e">
        <f>IF(C1176="",NA(),MATCH($B1176&amp;$C1176,'Smelter Reference List'!$J:$J,0))</f>
        <v>#N/A</v>
      </c>
      <c r="T1176" s="229"/>
      <c r="U1176" s="229">
        <f t="shared" ca="1" si="38"/>
        <v>0</v>
      </c>
      <c r="V1176" s="229"/>
      <c r="W1176" s="229"/>
      <c r="Y1176" s="223" t="str">
        <f t="shared" si="39"/>
        <v/>
      </c>
    </row>
    <row r="1177" spans="1:25" s="223" customFormat="1" ht="20.25">
      <c r="A1177" s="291"/>
      <c r="B1177" s="292" t="str">
        <f>IF(LEN(A1177)=0,"",INDEX('Smelter Reference List'!$A:$A,MATCH($A1177,'Smelter Reference List'!$E:$E,0)))</f>
        <v/>
      </c>
      <c r="C1177" s="298" t="str">
        <f>IF(LEN(A1177)=0,"",INDEX('Smelter Reference List'!$C:$C,MATCH($A1177,'Smelter Reference List'!$E:$E,0)))</f>
        <v/>
      </c>
      <c r="D1177" s="292" t="str">
        <f ca="1">IF(ISERROR($S1177),"",OFFSET('Smelter Reference List'!$C$4,$S1177-4,0)&amp;"")</f>
        <v/>
      </c>
      <c r="E1177" s="292" t="str">
        <f ca="1">IF(ISERROR($S1177),"",OFFSET('Smelter Reference List'!$D$4,$S1177-4,0)&amp;"")</f>
        <v/>
      </c>
      <c r="F1177" s="292" t="str">
        <f ca="1">IF(ISERROR($S1177),"",OFFSET('Smelter Reference List'!$E$4,$S1177-4,0))</f>
        <v/>
      </c>
      <c r="G1177" s="292" t="str">
        <f ca="1">IF(C1177=$U$4,"Enter smelter details", IF(ISERROR($S1177),"",OFFSET('Smelter Reference List'!$F$4,$S1177-4,0)))</f>
        <v/>
      </c>
      <c r="H1177" s="293" t="str">
        <f ca="1">IF(ISERROR($S1177),"",OFFSET('Smelter Reference List'!$G$4,$S1177-4,0))</f>
        <v/>
      </c>
      <c r="I1177" s="294" t="str">
        <f ca="1">IF(ISERROR($S1177),"",OFFSET('Smelter Reference List'!$H$4,$S1177-4,0))</f>
        <v/>
      </c>
      <c r="J1177" s="294" t="str">
        <f ca="1">IF(ISERROR($S1177),"",OFFSET('Smelter Reference List'!$I$4,$S1177-4,0))</f>
        <v/>
      </c>
      <c r="K1177" s="295"/>
      <c r="L1177" s="295"/>
      <c r="M1177" s="295"/>
      <c r="N1177" s="295"/>
      <c r="O1177" s="295"/>
      <c r="P1177" s="295"/>
      <c r="Q1177" s="296"/>
      <c r="R1177" s="227"/>
      <c r="S1177" s="228" t="e">
        <f>IF(C1177="",NA(),MATCH($B1177&amp;$C1177,'Smelter Reference List'!$J:$J,0))</f>
        <v>#N/A</v>
      </c>
      <c r="T1177" s="229"/>
      <c r="U1177" s="229">
        <f t="shared" ca="1" si="38"/>
        <v>0</v>
      </c>
      <c r="V1177" s="229"/>
      <c r="W1177" s="229"/>
      <c r="Y1177" s="223" t="str">
        <f t="shared" si="39"/>
        <v/>
      </c>
    </row>
    <row r="1178" spans="1:25" s="223" customFormat="1" ht="20.25">
      <c r="A1178" s="291"/>
      <c r="B1178" s="292" t="str">
        <f>IF(LEN(A1178)=0,"",INDEX('Smelter Reference List'!$A:$A,MATCH($A1178,'Smelter Reference List'!$E:$E,0)))</f>
        <v/>
      </c>
      <c r="C1178" s="298" t="str">
        <f>IF(LEN(A1178)=0,"",INDEX('Smelter Reference List'!$C:$C,MATCH($A1178,'Smelter Reference List'!$E:$E,0)))</f>
        <v/>
      </c>
      <c r="D1178" s="292" t="str">
        <f ca="1">IF(ISERROR($S1178),"",OFFSET('Smelter Reference List'!$C$4,$S1178-4,0)&amp;"")</f>
        <v/>
      </c>
      <c r="E1178" s="292" t="str">
        <f ca="1">IF(ISERROR($S1178),"",OFFSET('Smelter Reference List'!$D$4,$S1178-4,0)&amp;"")</f>
        <v/>
      </c>
      <c r="F1178" s="292" t="str">
        <f ca="1">IF(ISERROR($S1178),"",OFFSET('Smelter Reference List'!$E$4,$S1178-4,0))</f>
        <v/>
      </c>
      <c r="G1178" s="292" t="str">
        <f ca="1">IF(C1178=$U$4,"Enter smelter details", IF(ISERROR($S1178),"",OFFSET('Smelter Reference List'!$F$4,$S1178-4,0)))</f>
        <v/>
      </c>
      <c r="H1178" s="293" t="str">
        <f ca="1">IF(ISERROR($S1178),"",OFFSET('Smelter Reference List'!$G$4,$S1178-4,0))</f>
        <v/>
      </c>
      <c r="I1178" s="294" t="str">
        <f ca="1">IF(ISERROR($S1178),"",OFFSET('Smelter Reference List'!$H$4,$S1178-4,0))</f>
        <v/>
      </c>
      <c r="J1178" s="294" t="str">
        <f ca="1">IF(ISERROR($S1178),"",OFFSET('Smelter Reference List'!$I$4,$S1178-4,0))</f>
        <v/>
      </c>
      <c r="K1178" s="295"/>
      <c r="L1178" s="295"/>
      <c r="M1178" s="295"/>
      <c r="N1178" s="295"/>
      <c r="O1178" s="295"/>
      <c r="P1178" s="295"/>
      <c r="Q1178" s="296"/>
      <c r="R1178" s="227"/>
      <c r="S1178" s="228" t="e">
        <f>IF(C1178="",NA(),MATCH($B1178&amp;$C1178,'Smelter Reference List'!$J:$J,0))</f>
        <v>#N/A</v>
      </c>
      <c r="T1178" s="229"/>
      <c r="U1178" s="229">
        <f t="shared" ca="1" si="38"/>
        <v>0</v>
      </c>
      <c r="V1178" s="229"/>
      <c r="W1178" s="229"/>
      <c r="Y1178" s="223" t="str">
        <f t="shared" si="39"/>
        <v/>
      </c>
    </row>
    <row r="1179" spans="1:25" s="223" customFormat="1" ht="20.25">
      <c r="A1179" s="291"/>
      <c r="B1179" s="292" t="str">
        <f>IF(LEN(A1179)=0,"",INDEX('Smelter Reference List'!$A:$A,MATCH($A1179,'Smelter Reference List'!$E:$E,0)))</f>
        <v/>
      </c>
      <c r="C1179" s="298" t="str">
        <f>IF(LEN(A1179)=0,"",INDEX('Smelter Reference List'!$C:$C,MATCH($A1179,'Smelter Reference List'!$E:$E,0)))</f>
        <v/>
      </c>
      <c r="D1179" s="292" t="str">
        <f ca="1">IF(ISERROR($S1179),"",OFFSET('Smelter Reference List'!$C$4,$S1179-4,0)&amp;"")</f>
        <v/>
      </c>
      <c r="E1179" s="292" t="str">
        <f ca="1">IF(ISERROR($S1179),"",OFFSET('Smelter Reference List'!$D$4,$S1179-4,0)&amp;"")</f>
        <v/>
      </c>
      <c r="F1179" s="292" t="str">
        <f ca="1">IF(ISERROR($S1179),"",OFFSET('Smelter Reference List'!$E$4,$S1179-4,0))</f>
        <v/>
      </c>
      <c r="G1179" s="292" t="str">
        <f ca="1">IF(C1179=$U$4,"Enter smelter details", IF(ISERROR($S1179),"",OFFSET('Smelter Reference List'!$F$4,$S1179-4,0)))</f>
        <v/>
      </c>
      <c r="H1179" s="293" t="str">
        <f ca="1">IF(ISERROR($S1179),"",OFFSET('Smelter Reference List'!$G$4,$S1179-4,0))</f>
        <v/>
      </c>
      <c r="I1179" s="294" t="str">
        <f ca="1">IF(ISERROR($S1179),"",OFFSET('Smelter Reference List'!$H$4,$S1179-4,0))</f>
        <v/>
      </c>
      <c r="J1179" s="294" t="str">
        <f ca="1">IF(ISERROR($S1179),"",OFFSET('Smelter Reference List'!$I$4,$S1179-4,0))</f>
        <v/>
      </c>
      <c r="K1179" s="295"/>
      <c r="L1179" s="295"/>
      <c r="M1179" s="295"/>
      <c r="N1179" s="295"/>
      <c r="O1179" s="295"/>
      <c r="P1179" s="295"/>
      <c r="Q1179" s="296"/>
      <c r="R1179" s="227"/>
      <c r="S1179" s="228" t="e">
        <f>IF(C1179="",NA(),MATCH($B1179&amp;$C1179,'Smelter Reference List'!$J:$J,0))</f>
        <v>#N/A</v>
      </c>
      <c r="T1179" s="229"/>
      <c r="U1179" s="229">
        <f t="shared" ca="1" si="38"/>
        <v>0</v>
      </c>
      <c r="V1179" s="229"/>
      <c r="W1179" s="229"/>
      <c r="Y1179" s="223" t="str">
        <f t="shared" si="39"/>
        <v/>
      </c>
    </row>
    <row r="1180" spans="1:25" s="223" customFormat="1" ht="20.25">
      <c r="A1180" s="291"/>
      <c r="B1180" s="292" t="str">
        <f>IF(LEN(A1180)=0,"",INDEX('Smelter Reference List'!$A:$A,MATCH($A1180,'Smelter Reference List'!$E:$E,0)))</f>
        <v/>
      </c>
      <c r="C1180" s="298" t="str">
        <f>IF(LEN(A1180)=0,"",INDEX('Smelter Reference List'!$C:$C,MATCH($A1180,'Smelter Reference List'!$E:$E,0)))</f>
        <v/>
      </c>
      <c r="D1180" s="292" t="str">
        <f ca="1">IF(ISERROR($S1180),"",OFFSET('Smelter Reference List'!$C$4,$S1180-4,0)&amp;"")</f>
        <v/>
      </c>
      <c r="E1180" s="292" t="str">
        <f ca="1">IF(ISERROR($S1180),"",OFFSET('Smelter Reference List'!$D$4,$S1180-4,0)&amp;"")</f>
        <v/>
      </c>
      <c r="F1180" s="292" t="str">
        <f ca="1">IF(ISERROR($S1180),"",OFFSET('Smelter Reference List'!$E$4,$S1180-4,0))</f>
        <v/>
      </c>
      <c r="G1180" s="292" t="str">
        <f ca="1">IF(C1180=$U$4,"Enter smelter details", IF(ISERROR($S1180),"",OFFSET('Smelter Reference List'!$F$4,$S1180-4,0)))</f>
        <v/>
      </c>
      <c r="H1180" s="293" t="str">
        <f ca="1">IF(ISERROR($S1180),"",OFFSET('Smelter Reference List'!$G$4,$S1180-4,0))</f>
        <v/>
      </c>
      <c r="I1180" s="294" t="str">
        <f ca="1">IF(ISERROR($S1180),"",OFFSET('Smelter Reference List'!$H$4,$S1180-4,0))</f>
        <v/>
      </c>
      <c r="J1180" s="294" t="str">
        <f ca="1">IF(ISERROR($S1180),"",OFFSET('Smelter Reference List'!$I$4,$S1180-4,0))</f>
        <v/>
      </c>
      <c r="K1180" s="295"/>
      <c r="L1180" s="295"/>
      <c r="M1180" s="295"/>
      <c r="N1180" s="295"/>
      <c r="O1180" s="295"/>
      <c r="P1180" s="295"/>
      <c r="Q1180" s="296"/>
      <c r="R1180" s="227"/>
      <c r="S1180" s="228" t="e">
        <f>IF(C1180="",NA(),MATCH($B1180&amp;$C1180,'Smelter Reference List'!$J:$J,0))</f>
        <v>#N/A</v>
      </c>
      <c r="T1180" s="229"/>
      <c r="U1180" s="229">
        <f t="shared" ca="1" si="38"/>
        <v>0</v>
      </c>
      <c r="V1180" s="229"/>
      <c r="W1180" s="229"/>
      <c r="Y1180" s="223" t="str">
        <f t="shared" si="39"/>
        <v/>
      </c>
    </row>
    <row r="1181" spans="1:25" s="223" customFormat="1" ht="20.25">
      <c r="A1181" s="291"/>
      <c r="B1181" s="292" t="str">
        <f>IF(LEN(A1181)=0,"",INDEX('Smelter Reference List'!$A:$A,MATCH($A1181,'Smelter Reference List'!$E:$E,0)))</f>
        <v/>
      </c>
      <c r="C1181" s="298" t="str">
        <f>IF(LEN(A1181)=0,"",INDEX('Smelter Reference List'!$C:$C,MATCH($A1181,'Smelter Reference List'!$E:$E,0)))</f>
        <v/>
      </c>
      <c r="D1181" s="292" t="str">
        <f ca="1">IF(ISERROR($S1181),"",OFFSET('Smelter Reference List'!$C$4,$S1181-4,0)&amp;"")</f>
        <v/>
      </c>
      <c r="E1181" s="292" t="str">
        <f ca="1">IF(ISERROR($S1181),"",OFFSET('Smelter Reference List'!$D$4,$S1181-4,0)&amp;"")</f>
        <v/>
      </c>
      <c r="F1181" s="292" t="str">
        <f ca="1">IF(ISERROR($S1181),"",OFFSET('Smelter Reference List'!$E$4,$S1181-4,0))</f>
        <v/>
      </c>
      <c r="G1181" s="292" t="str">
        <f ca="1">IF(C1181=$U$4,"Enter smelter details", IF(ISERROR($S1181),"",OFFSET('Smelter Reference List'!$F$4,$S1181-4,0)))</f>
        <v/>
      </c>
      <c r="H1181" s="293" t="str">
        <f ca="1">IF(ISERROR($S1181),"",OFFSET('Smelter Reference List'!$G$4,$S1181-4,0))</f>
        <v/>
      </c>
      <c r="I1181" s="294" t="str">
        <f ca="1">IF(ISERROR($S1181),"",OFFSET('Smelter Reference List'!$H$4,$S1181-4,0))</f>
        <v/>
      </c>
      <c r="J1181" s="294" t="str">
        <f ca="1">IF(ISERROR($S1181),"",OFFSET('Smelter Reference List'!$I$4,$S1181-4,0))</f>
        <v/>
      </c>
      <c r="K1181" s="295"/>
      <c r="L1181" s="295"/>
      <c r="M1181" s="295"/>
      <c r="N1181" s="295"/>
      <c r="O1181" s="295"/>
      <c r="P1181" s="295"/>
      <c r="Q1181" s="296"/>
      <c r="R1181" s="227"/>
      <c r="S1181" s="228" t="e">
        <f>IF(C1181="",NA(),MATCH($B1181&amp;$C1181,'Smelter Reference List'!$J:$J,0))</f>
        <v>#N/A</v>
      </c>
      <c r="T1181" s="229"/>
      <c r="U1181" s="229">
        <f t="shared" ca="1" si="38"/>
        <v>0</v>
      </c>
      <c r="V1181" s="229"/>
      <c r="W1181" s="229"/>
      <c r="Y1181" s="223" t="str">
        <f t="shared" si="39"/>
        <v/>
      </c>
    </row>
    <row r="1182" spans="1:25" s="223" customFormat="1" ht="20.25">
      <c r="A1182" s="291"/>
      <c r="B1182" s="292" t="str">
        <f>IF(LEN(A1182)=0,"",INDEX('Smelter Reference List'!$A:$A,MATCH($A1182,'Smelter Reference List'!$E:$E,0)))</f>
        <v/>
      </c>
      <c r="C1182" s="298" t="str">
        <f>IF(LEN(A1182)=0,"",INDEX('Smelter Reference List'!$C:$C,MATCH($A1182,'Smelter Reference List'!$E:$E,0)))</f>
        <v/>
      </c>
      <c r="D1182" s="292" t="str">
        <f ca="1">IF(ISERROR($S1182),"",OFFSET('Smelter Reference List'!$C$4,$S1182-4,0)&amp;"")</f>
        <v/>
      </c>
      <c r="E1182" s="292" t="str">
        <f ca="1">IF(ISERROR($S1182),"",OFFSET('Smelter Reference List'!$D$4,$S1182-4,0)&amp;"")</f>
        <v/>
      </c>
      <c r="F1182" s="292" t="str">
        <f ca="1">IF(ISERROR($S1182),"",OFFSET('Smelter Reference List'!$E$4,$S1182-4,0))</f>
        <v/>
      </c>
      <c r="G1182" s="292" t="str">
        <f ca="1">IF(C1182=$U$4,"Enter smelter details", IF(ISERROR($S1182),"",OFFSET('Smelter Reference List'!$F$4,$S1182-4,0)))</f>
        <v/>
      </c>
      <c r="H1182" s="293" t="str">
        <f ca="1">IF(ISERROR($S1182),"",OFFSET('Smelter Reference List'!$G$4,$S1182-4,0))</f>
        <v/>
      </c>
      <c r="I1182" s="294" t="str">
        <f ca="1">IF(ISERROR($S1182),"",OFFSET('Smelter Reference List'!$H$4,$S1182-4,0))</f>
        <v/>
      </c>
      <c r="J1182" s="294" t="str">
        <f ca="1">IF(ISERROR($S1182),"",OFFSET('Smelter Reference List'!$I$4,$S1182-4,0))</f>
        <v/>
      </c>
      <c r="K1182" s="295"/>
      <c r="L1182" s="295"/>
      <c r="M1182" s="295"/>
      <c r="N1182" s="295"/>
      <c r="O1182" s="295"/>
      <c r="P1182" s="295"/>
      <c r="Q1182" s="296"/>
      <c r="R1182" s="227"/>
      <c r="S1182" s="228" t="e">
        <f>IF(C1182="",NA(),MATCH($B1182&amp;$C1182,'Smelter Reference List'!$J:$J,0))</f>
        <v>#N/A</v>
      </c>
      <c r="T1182" s="229"/>
      <c r="U1182" s="229">
        <f t="shared" ca="1" si="38"/>
        <v>0</v>
      </c>
      <c r="V1182" s="229"/>
      <c r="W1182" s="229"/>
      <c r="Y1182" s="223" t="str">
        <f t="shared" si="39"/>
        <v/>
      </c>
    </row>
    <row r="1183" spans="1:25" s="223" customFormat="1" ht="20.25">
      <c r="A1183" s="291"/>
      <c r="B1183" s="292" t="str">
        <f>IF(LEN(A1183)=0,"",INDEX('Smelter Reference List'!$A:$A,MATCH($A1183,'Smelter Reference List'!$E:$E,0)))</f>
        <v/>
      </c>
      <c r="C1183" s="298" t="str">
        <f>IF(LEN(A1183)=0,"",INDEX('Smelter Reference List'!$C:$C,MATCH($A1183,'Smelter Reference List'!$E:$E,0)))</f>
        <v/>
      </c>
      <c r="D1183" s="292" t="str">
        <f ca="1">IF(ISERROR($S1183),"",OFFSET('Smelter Reference List'!$C$4,$S1183-4,0)&amp;"")</f>
        <v/>
      </c>
      <c r="E1183" s="292" t="str">
        <f ca="1">IF(ISERROR($S1183),"",OFFSET('Smelter Reference List'!$D$4,$S1183-4,0)&amp;"")</f>
        <v/>
      </c>
      <c r="F1183" s="292" t="str">
        <f ca="1">IF(ISERROR($S1183),"",OFFSET('Smelter Reference List'!$E$4,$S1183-4,0))</f>
        <v/>
      </c>
      <c r="G1183" s="292" t="str">
        <f ca="1">IF(C1183=$U$4,"Enter smelter details", IF(ISERROR($S1183),"",OFFSET('Smelter Reference List'!$F$4,$S1183-4,0)))</f>
        <v/>
      </c>
      <c r="H1183" s="293" t="str">
        <f ca="1">IF(ISERROR($S1183),"",OFFSET('Smelter Reference List'!$G$4,$S1183-4,0))</f>
        <v/>
      </c>
      <c r="I1183" s="294" t="str">
        <f ca="1">IF(ISERROR($S1183),"",OFFSET('Smelter Reference List'!$H$4,$S1183-4,0))</f>
        <v/>
      </c>
      <c r="J1183" s="294" t="str">
        <f ca="1">IF(ISERROR($S1183),"",OFFSET('Smelter Reference List'!$I$4,$S1183-4,0))</f>
        <v/>
      </c>
      <c r="K1183" s="295"/>
      <c r="L1183" s="295"/>
      <c r="M1183" s="295"/>
      <c r="N1183" s="295"/>
      <c r="O1183" s="295"/>
      <c r="P1183" s="295"/>
      <c r="Q1183" s="296"/>
      <c r="R1183" s="227"/>
      <c r="S1183" s="228" t="e">
        <f>IF(C1183="",NA(),MATCH($B1183&amp;$C1183,'Smelter Reference List'!$J:$J,0))</f>
        <v>#N/A</v>
      </c>
      <c r="T1183" s="229"/>
      <c r="U1183" s="229">
        <f t="shared" ca="1" si="38"/>
        <v>0</v>
      </c>
      <c r="V1183" s="229"/>
      <c r="W1183" s="229"/>
      <c r="Y1183" s="223" t="str">
        <f t="shared" si="39"/>
        <v/>
      </c>
    </row>
    <row r="1184" spans="1:25" s="223" customFormat="1" ht="20.25">
      <c r="A1184" s="291"/>
      <c r="B1184" s="292" t="str">
        <f>IF(LEN(A1184)=0,"",INDEX('Smelter Reference List'!$A:$A,MATCH($A1184,'Smelter Reference List'!$E:$E,0)))</f>
        <v/>
      </c>
      <c r="C1184" s="298" t="str">
        <f>IF(LEN(A1184)=0,"",INDEX('Smelter Reference List'!$C:$C,MATCH($A1184,'Smelter Reference List'!$E:$E,0)))</f>
        <v/>
      </c>
      <c r="D1184" s="292" t="str">
        <f ca="1">IF(ISERROR($S1184),"",OFFSET('Smelter Reference List'!$C$4,$S1184-4,0)&amp;"")</f>
        <v/>
      </c>
      <c r="E1184" s="292" t="str">
        <f ca="1">IF(ISERROR($S1184),"",OFFSET('Smelter Reference List'!$D$4,$S1184-4,0)&amp;"")</f>
        <v/>
      </c>
      <c r="F1184" s="292" t="str">
        <f ca="1">IF(ISERROR($S1184),"",OFFSET('Smelter Reference List'!$E$4,$S1184-4,0))</f>
        <v/>
      </c>
      <c r="G1184" s="292" t="str">
        <f ca="1">IF(C1184=$U$4,"Enter smelter details", IF(ISERROR($S1184),"",OFFSET('Smelter Reference List'!$F$4,$S1184-4,0)))</f>
        <v/>
      </c>
      <c r="H1184" s="293" t="str">
        <f ca="1">IF(ISERROR($S1184),"",OFFSET('Smelter Reference List'!$G$4,$S1184-4,0))</f>
        <v/>
      </c>
      <c r="I1184" s="294" t="str">
        <f ca="1">IF(ISERROR($S1184),"",OFFSET('Smelter Reference List'!$H$4,$S1184-4,0))</f>
        <v/>
      </c>
      <c r="J1184" s="294" t="str">
        <f ca="1">IF(ISERROR($S1184),"",OFFSET('Smelter Reference List'!$I$4,$S1184-4,0))</f>
        <v/>
      </c>
      <c r="K1184" s="295"/>
      <c r="L1184" s="295"/>
      <c r="M1184" s="295"/>
      <c r="N1184" s="295"/>
      <c r="O1184" s="295"/>
      <c r="P1184" s="295"/>
      <c r="Q1184" s="296"/>
      <c r="R1184" s="227"/>
      <c r="S1184" s="228" t="e">
        <f>IF(C1184="",NA(),MATCH($B1184&amp;$C1184,'Smelter Reference List'!$J:$J,0))</f>
        <v>#N/A</v>
      </c>
      <c r="T1184" s="229"/>
      <c r="U1184" s="229">
        <f t="shared" ca="1" si="38"/>
        <v>0</v>
      </c>
      <c r="V1184" s="229"/>
      <c r="W1184" s="229"/>
      <c r="Y1184" s="223" t="str">
        <f t="shared" si="39"/>
        <v/>
      </c>
    </row>
    <row r="1185" spans="1:25" s="223" customFormat="1" ht="20.25">
      <c r="A1185" s="291"/>
      <c r="B1185" s="292" t="str">
        <f>IF(LEN(A1185)=0,"",INDEX('Smelter Reference List'!$A:$A,MATCH($A1185,'Smelter Reference List'!$E:$E,0)))</f>
        <v/>
      </c>
      <c r="C1185" s="298" t="str">
        <f>IF(LEN(A1185)=0,"",INDEX('Smelter Reference List'!$C:$C,MATCH($A1185,'Smelter Reference List'!$E:$E,0)))</f>
        <v/>
      </c>
      <c r="D1185" s="292" t="str">
        <f ca="1">IF(ISERROR($S1185),"",OFFSET('Smelter Reference List'!$C$4,$S1185-4,0)&amp;"")</f>
        <v/>
      </c>
      <c r="E1185" s="292" t="str">
        <f ca="1">IF(ISERROR($S1185),"",OFFSET('Smelter Reference List'!$D$4,$S1185-4,0)&amp;"")</f>
        <v/>
      </c>
      <c r="F1185" s="292" t="str">
        <f ca="1">IF(ISERROR($S1185),"",OFFSET('Smelter Reference List'!$E$4,$S1185-4,0))</f>
        <v/>
      </c>
      <c r="G1185" s="292" t="str">
        <f ca="1">IF(C1185=$U$4,"Enter smelter details", IF(ISERROR($S1185),"",OFFSET('Smelter Reference List'!$F$4,$S1185-4,0)))</f>
        <v/>
      </c>
      <c r="H1185" s="293" t="str">
        <f ca="1">IF(ISERROR($S1185),"",OFFSET('Smelter Reference List'!$G$4,$S1185-4,0))</f>
        <v/>
      </c>
      <c r="I1185" s="294" t="str">
        <f ca="1">IF(ISERROR($S1185),"",OFFSET('Smelter Reference List'!$H$4,$S1185-4,0))</f>
        <v/>
      </c>
      <c r="J1185" s="294" t="str">
        <f ca="1">IF(ISERROR($S1185),"",OFFSET('Smelter Reference List'!$I$4,$S1185-4,0))</f>
        <v/>
      </c>
      <c r="K1185" s="295"/>
      <c r="L1185" s="295"/>
      <c r="M1185" s="295"/>
      <c r="N1185" s="295"/>
      <c r="O1185" s="295"/>
      <c r="P1185" s="295"/>
      <c r="Q1185" s="296"/>
      <c r="R1185" s="227"/>
      <c r="S1185" s="228" t="e">
        <f>IF(C1185="",NA(),MATCH($B1185&amp;$C1185,'Smelter Reference List'!$J:$J,0))</f>
        <v>#N/A</v>
      </c>
      <c r="T1185" s="229"/>
      <c r="U1185" s="229">
        <f t="shared" ca="1" si="38"/>
        <v>0</v>
      </c>
      <c r="V1185" s="229"/>
      <c r="W1185" s="229"/>
      <c r="Y1185" s="223" t="str">
        <f t="shared" si="39"/>
        <v/>
      </c>
    </row>
    <row r="1186" spans="1:25" s="223" customFormat="1" ht="20.25">
      <c r="A1186" s="291"/>
      <c r="B1186" s="292" t="str">
        <f>IF(LEN(A1186)=0,"",INDEX('Smelter Reference List'!$A:$A,MATCH($A1186,'Smelter Reference List'!$E:$E,0)))</f>
        <v/>
      </c>
      <c r="C1186" s="298" t="str">
        <f>IF(LEN(A1186)=0,"",INDEX('Smelter Reference List'!$C:$C,MATCH($A1186,'Smelter Reference List'!$E:$E,0)))</f>
        <v/>
      </c>
      <c r="D1186" s="292" t="str">
        <f ca="1">IF(ISERROR($S1186),"",OFFSET('Smelter Reference List'!$C$4,$S1186-4,0)&amp;"")</f>
        <v/>
      </c>
      <c r="E1186" s="292" t="str">
        <f ca="1">IF(ISERROR($S1186),"",OFFSET('Smelter Reference List'!$D$4,$S1186-4,0)&amp;"")</f>
        <v/>
      </c>
      <c r="F1186" s="292" t="str">
        <f ca="1">IF(ISERROR($S1186),"",OFFSET('Smelter Reference List'!$E$4,$S1186-4,0))</f>
        <v/>
      </c>
      <c r="G1186" s="292" t="str">
        <f ca="1">IF(C1186=$U$4,"Enter smelter details", IF(ISERROR($S1186),"",OFFSET('Smelter Reference List'!$F$4,$S1186-4,0)))</f>
        <v/>
      </c>
      <c r="H1186" s="293" t="str">
        <f ca="1">IF(ISERROR($S1186),"",OFFSET('Smelter Reference List'!$G$4,$S1186-4,0))</f>
        <v/>
      </c>
      <c r="I1186" s="294" t="str">
        <f ca="1">IF(ISERROR($S1186),"",OFFSET('Smelter Reference List'!$H$4,$S1186-4,0))</f>
        <v/>
      </c>
      <c r="J1186" s="294" t="str">
        <f ca="1">IF(ISERROR($S1186),"",OFFSET('Smelter Reference List'!$I$4,$S1186-4,0))</f>
        <v/>
      </c>
      <c r="K1186" s="295"/>
      <c r="L1186" s="295"/>
      <c r="M1186" s="295"/>
      <c r="N1186" s="295"/>
      <c r="O1186" s="295"/>
      <c r="P1186" s="295"/>
      <c r="Q1186" s="296"/>
      <c r="R1186" s="227"/>
      <c r="S1186" s="228" t="e">
        <f>IF(C1186="",NA(),MATCH($B1186&amp;$C1186,'Smelter Reference List'!$J:$J,0))</f>
        <v>#N/A</v>
      </c>
      <c r="T1186" s="229"/>
      <c r="U1186" s="229">
        <f t="shared" ca="1" si="38"/>
        <v>0</v>
      </c>
      <c r="V1186" s="229"/>
      <c r="W1186" s="229"/>
      <c r="Y1186" s="223" t="str">
        <f t="shared" si="39"/>
        <v/>
      </c>
    </row>
    <row r="1187" spans="1:25" s="223" customFormat="1" ht="20.25">
      <c r="A1187" s="291"/>
      <c r="B1187" s="292" t="str">
        <f>IF(LEN(A1187)=0,"",INDEX('Smelter Reference List'!$A:$A,MATCH($A1187,'Smelter Reference List'!$E:$E,0)))</f>
        <v/>
      </c>
      <c r="C1187" s="298" t="str">
        <f>IF(LEN(A1187)=0,"",INDEX('Smelter Reference List'!$C:$C,MATCH($A1187,'Smelter Reference List'!$E:$E,0)))</f>
        <v/>
      </c>
      <c r="D1187" s="292" t="str">
        <f ca="1">IF(ISERROR($S1187),"",OFFSET('Smelter Reference List'!$C$4,$S1187-4,0)&amp;"")</f>
        <v/>
      </c>
      <c r="E1187" s="292" t="str">
        <f ca="1">IF(ISERROR($S1187),"",OFFSET('Smelter Reference List'!$D$4,$S1187-4,0)&amp;"")</f>
        <v/>
      </c>
      <c r="F1187" s="292" t="str">
        <f ca="1">IF(ISERROR($S1187),"",OFFSET('Smelter Reference List'!$E$4,$S1187-4,0))</f>
        <v/>
      </c>
      <c r="G1187" s="292" t="str">
        <f ca="1">IF(C1187=$U$4,"Enter smelter details", IF(ISERROR($S1187),"",OFFSET('Smelter Reference List'!$F$4,$S1187-4,0)))</f>
        <v/>
      </c>
      <c r="H1187" s="293" t="str">
        <f ca="1">IF(ISERROR($S1187),"",OFFSET('Smelter Reference List'!$G$4,$S1187-4,0))</f>
        <v/>
      </c>
      <c r="I1187" s="294" t="str">
        <f ca="1">IF(ISERROR($S1187),"",OFFSET('Smelter Reference List'!$H$4,$S1187-4,0))</f>
        <v/>
      </c>
      <c r="J1187" s="294" t="str">
        <f ca="1">IF(ISERROR($S1187),"",OFFSET('Smelter Reference List'!$I$4,$S1187-4,0))</f>
        <v/>
      </c>
      <c r="K1187" s="295"/>
      <c r="L1187" s="295"/>
      <c r="M1187" s="295"/>
      <c r="N1187" s="295"/>
      <c r="O1187" s="295"/>
      <c r="P1187" s="295"/>
      <c r="Q1187" s="296"/>
      <c r="R1187" s="227"/>
      <c r="S1187" s="228" t="e">
        <f>IF(C1187="",NA(),MATCH($B1187&amp;$C1187,'Smelter Reference List'!$J:$J,0))</f>
        <v>#N/A</v>
      </c>
      <c r="T1187" s="229"/>
      <c r="U1187" s="229">
        <f t="shared" ca="1" si="38"/>
        <v>0</v>
      </c>
      <c r="V1187" s="229"/>
      <c r="W1187" s="229"/>
      <c r="Y1187" s="223" t="str">
        <f t="shared" si="39"/>
        <v/>
      </c>
    </row>
    <row r="1188" spans="1:25" s="223" customFormat="1" ht="20.25">
      <c r="A1188" s="291"/>
      <c r="B1188" s="292" t="str">
        <f>IF(LEN(A1188)=0,"",INDEX('Smelter Reference List'!$A:$A,MATCH($A1188,'Smelter Reference List'!$E:$E,0)))</f>
        <v/>
      </c>
      <c r="C1188" s="298" t="str">
        <f>IF(LEN(A1188)=0,"",INDEX('Smelter Reference List'!$C:$C,MATCH($A1188,'Smelter Reference List'!$E:$E,0)))</f>
        <v/>
      </c>
      <c r="D1188" s="292" t="str">
        <f ca="1">IF(ISERROR($S1188),"",OFFSET('Smelter Reference List'!$C$4,$S1188-4,0)&amp;"")</f>
        <v/>
      </c>
      <c r="E1188" s="292" t="str">
        <f ca="1">IF(ISERROR($S1188),"",OFFSET('Smelter Reference List'!$D$4,$S1188-4,0)&amp;"")</f>
        <v/>
      </c>
      <c r="F1188" s="292" t="str">
        <f ca="1">IF(ISERROR($S1188),"",OFFSET('Smelter Reference List'!$E$4,$S1188-4,0))</f>
        <v/>
      </c>
      <c r="G1188" s="292" t="str">
        <f ca="1">IF(C1188=$U$4,"Enter smelter details", IF(ISERROR($S1188),"",OFFSET('Smelter Reference List'!$F$4,$S1188-4,0)))</f>
        <v/>
      </c>
      <c r="H1188" s="293" t="str">
        <f ca="1">IF(ISERROR($S1188),"",OFFSET('Smelter Reference List'!$G$4,$S1188-4,0))</f>
        <v/>
      </c>
      <c r="I1188" s="294" t="str">
        <f ca="1">IF(ISERROR($S1188),"",OFFSET('Smelter Reference List'!$H$4,$S1188-4,0))</f>
        <v/>
      </c>
      <c r="J1188" s="294" t="str">
        <f ca="1">IF(ISERROR($S1188),"",OFFSET('Smelter Reference List'!$I$4,$S1188-4,0))</f>
        <v/>
      </c>
      <c r="K1188" s="295"/>
      <c r="L1188" s="295"/>
      <c r="M1188" s="295"/>
      <c r="N1188" s="295"/>
      <c r="O1188" s="295"/>
      <c r="P1188" s="295"/>
      <c r="Q1188" s="296"/>
      <c r="R1188" s="227"/>
      <c r="S1188" s="228" t="e">
        <f>IF(C1188="",NA(),MATCH($B1188&amp;$C1188,'Smelter Reference List'!$J:$J,0))</f>
        <v>#N/A</v>
      </c>
      <c r="T1188" s="229"/>
      <c r="U1188" s="229">
        <f t="shared" ca="1" si="38"/>
        <v>0</v>
      </c>
      <c r="V1188" s="229"/>
      <c r="W1188" s="229"/>
      <c r="Y1188" s="223" t="str">
        <f t="shared" si="39"/>
        <v/>
      </c>
    </row>
    <row r="1189" spans="1:25" s="223" customFormat="1" ht="20.25">
      <c r="A1189" s="291"/>
      <c r="B1189" s="292" t="str">
        <f>IF(LEN(A1189)=0,"",INDEX('Smelter Reference List'!$A:$A,MATCH($A1189,'Smelter Reference List'!$E:$E,0)))</f>
        <v/>
      </c>
      <c r="C1189" s="298" t="str">
        <f>IF(LEN(A1189)=0,"",INDEX('Smelter Reference List'!$C:$C,MATCH($A1189,'Smelter Reference List'!$E:$E,0)))</f>
        <v/>
      </c>
      <c r="D1189" s="292" t="str">
        <f ca="1">IF(ISERROR($S1189),"",OFFSET('Smelter Reference List'!$C$4,$S1189-4,0)&amp;"")</f>
        <v/>
      </c>
      <c r="E1189" s="292" t="str">
        <f ca="1">IF(ISERROR($S1189),"",OFFSET('Smelter Reference List'!$D$4,$S1189-4,0)&amp;"")</f>
        <v/>
      </c>
      <c r="F1189" s="292" t="str">
        <f ca="1">IF(ISERROR($S1189),"",OFFSET('Smelter Reference List'!$E$4,$S1189-4,0))</f>
        <v/>
      </c>
      <c r="G1189" s="292" t="str">
        <f ca="1">IF(C1189=$U$4,"Enter smelter details", IF(ISERROR($S1189),"",OFFSET('Smelter Reference List'!$F$4,$S1189-4,0)))</f>
        <v/>
      </c>
      <c r="H1189" s="293" t="str">
        <f ca="1">IF(ISERROR($S1189),"",OFFSET('Smelter Reference List'!$G$4,$S1189-4,0))</f>
        <v/>
      </c>
      <c r="I1189" s="294" t="str">
        <f ca="1">IF(ISERROR($S1189),"",OFFSET('Smelter Reference List'!$H$4,$S1189-4,0))</f>
        <v/>
      </c>
      <c r="J1189" s="294" t="str">
        <f ca="1">IF(ISERROR($S1189),"",OFFSET('Smelter Reference List'!$I$4,$S1189-4,0))</f>
        <v/>
      </c>
      <c r="K1189" s="295"/>
      <c r="L1189" s="295"/>
      <c r="M1189" s="295"/>
      <c r="N1189" s="295"/>
      <c r="O1189" s="295"/>
      <c r="P1189" s="295"/>
      <c r="Q1189" s="296"/>
      <c r="R1189" s="227"/>
      <c r="S1189" s="228" t="e">
        <f>IF(C1189="",NA(),MATCH($B1189&amp;$C1189,'Smelter Reference List'!$J:$J,0))</f>
        <v>#N/A</v>
      </c>
      <c r="T1189" s="229"/>
      <c r="U1189" s="229">
        <f t="shared" ca="1" si="38"/>
        <v>0</v>
      </c>
      <c r="V1189" s="229"/>
      <c r="W1189" s="229"/>
      <c r="Y1189" s="223" t="str">
        <f t="shared" si="39"/>
        <v/>
      </c>
    </row>
    <row r="1190" spans="1:25" s="223" customFormat="1" ht="20.25">
      <c r="A1190" s="291"/>
      <c r="B1190" s="292" t="str">
        <f>IF(LEN(A1190)=0,"",INDEX('Smelter Reference List'!$A:$A,MATCH($A1190,'Smelter Reference List'!$E:$E,0)))</f>
        <v/>
      </c>
      <c r="C1190" s="298" t="str">
        <f>IF(LEN(A1190)=0,"",INDEX('Smelter Reference List'!$C:$C,MATCH($A1190,'Smelter Reference List'!$E:$E,0)))</f>
        <v/>
      </c>
      <c r="D1190" s="292" t="str">
        <f ca="1">IF(ISERROR($S1190),"",OFFSET('Smelter Reference List'!$C$4,$S1190-4,0)&amp;"")</f>
        <v/>
      </c>
      <c r="E1190" s="292" t="str">
        <f ca="1">IF(ISERROR($S1190),"",OFFSET('Smelter Reference List'!$D$4,$S1190-4,0)&amp;"")</f>
        <v/>
      </c>
      <c r="F1190" s="292" t="str">
        <f ca="1">IF(ISERROR($S1190),"",OFFSET('Smelter Reference List'!$E$4,$S1190-4,0))</f>
        <v/>
      </c>
      <c r="G1190" s="292" t="str">
        <f ca="1">IF(C1190=$U$4,"Enter smelter details", IF(ISERROR($S1190),"",OFFSET('Smelter Reference List'!$F$4,$S1190-4,0)))</f>
        <v/>
      </c>
      <c r="H1190" s="293" t="str">
        <f ca="1">IF(ISERROR($S1190),"",OFFSET('Smelter Reference List'!$G$4,$S1190-4,0))</f>
        <v/>
      </c>
      <c r="I1190" s="294" t="str">
        <f ca="1">IF(ISERROR($S1190),"",OFFSET('Smelter Reference List'!$H$4,$S1190-4,0))</f>
        <v/>
      </c>
      <c r="J1190" s="294" t="str">
        <f ca="1">IF(ISERROR($S1190),"",OFFSET('Smelter Reference List'!$I$4,$S1190-4,0))</f>
        <v/>
      </c>
      <c r="K1190" s="295"/>
      <c r="L1190" s="295"/>
      <c r="M1190" s="295"/>
      <c r="N1190" s="295"/>
      <c r="O1190" s="295"/>
      <c r="P1190" s="295"/>
      <c r="Q1190" s="296"/>
      <c r="R1190" s="227"/>
      <c r="S1190" s="228" t="e">
        <f>IF(C1190="",NA(),MATCH($B1190&amp;$C1190,'Smelter Reference List'!$J:$J,0))</f>
        <v>#N/A</v>
      </c>
      <c r="T1190" s="229"/>
      <c r="U1190" s="229">
        <f t="shared" ca="1" si="38"/>
        <v>0</v>
      </c>
      <c r="V1190" s="229"/>
      <c r="W1190" s="229"/>
      <c r="Y1190" s="223" t="str">
        <f t="shared" si="39"/>
        <v/>
      </c>
    </row>
    <row r="1191" spans="1:25" s="223" customFormat="1" ht="20.25">
      <c r="A1191" s="291"/>
      <c r="B1191" s="292" t="str">
        <f>IF(LEN(A1191)=0,"",INDEX('Smelter Reference List'!$A:$A,MATCH($A1191,'Smelter Reference List'!$E:$E,0)))</f>
        <v/>
      </c>
      <c r="C1191" s="298" t="str">
        <f>IF(LEN(A1191)=0,"",INDEX('Smelter Reference List'!$C:$C,MATCH($A1191,'Smelter Reference List'!$E:$E,0)))</f>
        <v/>
      </c>
      <c r="D1191" s="292" t="str">
        <f ca="1">IF(ISERROR($S1191),"",OFFSET('Smelter Reference List'!$C$4,$S1191-4,0)&amp;"")</f>
        <v/>
      </c>
      <c r="E1191" s="292" t="str">
        <f ca="1">IF(ISERROR($S1191),"",OFFSET('Smelter Reference List'!$D$4,$S1191-4,0)&amp;"")</f>
        <v/>
      </c>
      <c r="F1191" s="292" t="str">
        <f ca="1">IF(ISERROR($S1191),"",OFFSET('Smelter Reference List'!$E$4,$S1191-4,0))</f>
        <v/>
      </c>
      <c r="G1191" s="292" t="str">
        <f ca="1">IF(C1191=$U$4,"Enter smelter details", IF(ISERROR($S1191),"",OFFSET('Smelter Reference List'!$F$4,$S1191-4,0)))</f>
        <v/>
      </c>
      <c r="H1191" s="293" t="str">
        <f ca="1">IF(ISERROR($S1191),"",OFFSET('Smelter Reference List'!$G$4,$S1191-4,0))</f>
        <v/>
      </c>
      <c r="I1191" s="294" t="str">
        <f ca="1">IF(ISERROR($S1191),"",OFFSET('Smelter Reference List'!$H$4,$S1191-4,0))</f>
        <v/>
      </c>
      <c r="J1191" s="294" t="str">
        <f ca="1">IF(ISERROR($S1191),"",OFFSET('Smelter Reference List'!$I$4,$S1191-4,0))</f>
        <v/>
      </c>
      <c r="K1191" s="295"/>
      <c r="L1191" s="295"/>
      <c r="M1191" s="295"/>
      <c r="N1191" s="295"/>
      <c r="O1191" s="295"/>
      <c r="P1191" s="295"/>
      <c r="Q1191" s="296"/>
      <c r="R1191" s="227"/>
      <c r="S1191" s="228" t="e">
        <f>IF(C1191="",NA(),MATCH($B1191&amp;$C1191,'Smelter Reference List'!$J:$J,0))</f>
        <v>#N/A</v>
      </c>
      <c r="T1191" s="229"/>
      <c r="U1191" s="229">
        <f t="shared" ca="1" si="38"/>
        <v>0</v>
      </c>
      <c r="V1191" s="229"/>
      <c r="W1191" s="229"/>
      <c r="Y1191" s="223" t="str">
        <f t="shared" si="39"/>
        <v/>
      </c>
    </row>
    <row r="1192" spans="1:25" s="223" customFormat="1" ht="20.25">
      <c r="A1192" s="291"/>
      <c r="B1192" s="292" t="str">
        <f>IF(LEN(A1192)=0,"",INDEX('Smelter Reference List'!$A:$A,MATCH($A1192,'Smelter Reference List'!$E:$E,0)))</f>
        <v/>
      </c>
      <c r="C1192" s="298" t="str">
        <f>IF(LEN(A1192)=0,"",INDEX('Smelter Reference List'!$C:$C,MATCH($A1192,'Smelter Reference List'!$E:$E,0)))</f>
        <v/>
      </c>
      <c r="D1192" s="292" t="str">
        <f ca="1">IF(ISERROR($S1192),"",OFFSET('Smelter Reference List'!$C$4,$S1192-4,0)&amp;"")</f>
        <v/>
      </c>
      <c r="E1192" s="292" t="str">
        <f ca="1">IF(ISERROR($S1192),"",OFFSET('Smelter Reference List'!$D$4,$S1192-4,0)&amp;"")</f>
        <v/>
      </c>
      <c r="F1192" s="292" t="str">
        <f ca="1">IF(ISERROR($S1192),"",OFFSET('Smelter Reference List'!$E$4,$S1192-4,0))</f>
        <v/>
      </c>
      <c r="G1192" s="292" t="str">
        <f ca="1">IF(C1192=$U$4,"Enter smelter details", IF(ISERROR($S1192),"",OFFSET('Smelter Reference List'!$F$4,$S1192-4,0)))</f>
        <v/>
      </c>
      <c r="H1192" s="293" t="str">
        <f ca="1">IF(ISERROR($S1192),"",OFFSET('Smelter Reference List'!$G$4,$S1192-4,0))</f>
        <v/>
      </c>
      <c r="I1192" s="294" t="str">
        <f ca="1">IF(ISERROR($S1192),"",OFFSET('Smelter Reference List'!$H$4,$S1192-4,0))</f>
        <v/>
      </c>
      <c r="J1192" s="294" t="str">
        <f ca="1">IF(ISERROR($S1192),"",OFFSET('Smelter Reference List'!$I$4,$S1192-4,0))</f>
        <v/>
      </c>
      <c r="K1192" s="295"/>
      <c r="L1192" s="295"/>
      <c r="M1192" s="295"/>
      <c r="N1192" s="295"/>
      <c r="O1192" s="295"/>
      <c r="P1192" s="295"/>
      <c r="Q1192" s="296"/>
      <c r="R1192" s="227"/>
      <c r="S1192" s="228" t="e">
        <f>IF(C1192="",NA(),MATCH($B1192&amp;$C1192,'Smelter Reference List'!$J:$J,0))</f>
        <v>#N/A</v>
      </c>
      <c r="T1192" s="229"/>
      <c r="U1192" s="229">
        <f t="shared" ca="1" si="38"/>
        <v>0</v>
      </c>
      <c r="V1192" s="229"/>
      <c r="W1192" s="229"/>
      <c r="Y1192" s="223" t="str">
        <f t="shared" si="39"/>
        <v/>
      </c>
    </row>
    <row r="1193" spans="1:25" s="223" customFormat="1" ht="20.25">
      <c r="A1193" s="291"/>
      <c r="B1193" s="292" t="str">
        <f>IF(LEN(A1193)=0,"",INDEX('Smelter Reference List'!$A:$A,MATCH($A1193,'Smelter Reference List'!$E:$E,0)))</f>
        <v/>
      </c>
      <c r="C1193" s="298" t="str">
        <f>IF(LEN(A1193)=0,"",INDEX('Smelter Reference List'!$C:$C,MATCH($A1193,'Smelter Reference List'!$E:$E,0)))</f>
        <v/>
      </c>
      <c r="D1193" s="292" t="str">
        <f ca="1">IF(ISERROR($S1193),"",OFFSET('Smelter Reference List'!$C$4,$S1193-4,0)&amp;"")</f>
        <v/>
      </c>
      <c r="E1193" s="292" t="str">
        <f ca="1">IF(ISERROR($S1193),"",OFFSET('Smelter Reference List'!$D$4,$S1193-4,0)&amp;"")</f>
        <v/>
      </c>
      <c r="F1193" s="292" t="str">
        <f ca="1">IF(ISERROR($S1193),"",OFFSET('Smelter Reference List'!$E$4,$S1193-4,0))</f>
        <v/>
      </c>
      <c r="G1193" s="292" t="str">
        <f ca="1">IF(C1193=$U$4,"Enter smelter details", IF(ISERROR($S1193),"",OFFSET('Smelter Reference List'!$F$4,$S1193-4,0)))</f>
        <v/>
      </c>
      <c r="H1193" s="293" t="str">
        <f ca="1">IF(ISERROR($S1193),"",OFFSET('Smelter Reference List'!$G$4,$S1193-4,0))</f>
        <v/>
      </c>
      <c r="I1193" s="294" t="str">
        <f ca="1">IF(ISERROR($S1193),"",OFFSET('Smelter Reference List'!$H$4,$S1193-4,0))</f>
        <v/>
      </c>
      <c r="J1193" s="294" t="str">
        <f ca="1">IF(ISERROR($S1193),"",OFFSET('Smelter Reference List'!$I$4,$S1193-4,0))</f>
        <v/>
      </c>
      <c r="K1193" s="295"/>
      <c r="L1193" s="295"/>
      <c r="M1193" s="295"/>
      <c r="N1193" s="295"/>
      <c r="O1193" s="295"/>
      <c r="P1193" s="295"/>
      <c r="Q1193" s="296"/>
      <c r="R1193" s="227"/>
      <c r="S1193" s="228" t="e">
        <f>IF(C1193="",NA(),MATCH($B1193&amp;$C1193,'Smelter Reference List'!$J:$J,0))</f>
        <v>#N/A</v>
      </c>
      <c r="T1193" s="229"/>
      <c r="U1193" s="229">
        <f t="shared" ca="1" si="38"/>
        <v>0</v>
      </c>
      <c r="V1193" s="229"/>
      <c r="W1193" s="229"/>
      <c r="Y1193" s="223" t="str">
        <f t="shared" si="39"/>
        <v/>
      </c>
    </row>
    <row r="1194" spans="1:25" s="223" customFormat="1" ht="20.25">
      <c r="A1194" s="291"/>
      <c r="B1194" s="292" t="str">
        <f>IF(LEN(A1194)=0,"",INDEX('Smelter Reference List'!$A:$A,MATCH($A1194,'Smelter Reference List'!$E:$E,0)))</f>
        <v/>
      </c>
      <c r="C1194" s="298" t="str">
        <f>IF(LEN(A1194)=0,"",INDEX('Smelter Reference List'!$C:$C,MATCH($A1194,'Smelter Reference List'!$E:$E,0)))</f>
        <v/>
      </c>
      <c r="D1194" s="292" t="str">
        <f ca="1">IF(ISERROR($S1194),"",OFFSET('Smelter Reference List'!$C$4,$S1194-4,0)&amp;"")</f>
        <v/>
      </c>
      <c r="E1194" s="292" t="str">
        <f ca="1">IF(ISERROR($S1194),"",OFFSET('Smelter Reference List'!$D$4,$S1194-4,0)&amp;"")</f>
        <v/>
      </c>
      <c r="F1194" s="292" t="str">
        <f ca="1">IF(ISERROR($S1194),"",OFFSET('Smelter Reference List'!$E$4,$S1194-4,0))</f>
        <v/>
      </c>
      <c r="G1194" s="292" t="str">
        <f ca="1">IF(C1194=$U$4,"Enter smelter details", IF(ISERROR($S1194),"",OFFSET('Smelter Reference List'!$F$4,$S1194-4,0)))</f>
        <v/>
      </c>
      <c r="H1194" s="293" t="str">
        <f ca="1">IF(ISERROR($S1194),"",OFFSET('Smelter Reference List'!$G$4,$S1194-4,0))</f>
        <v/>
      </c>
      <c r="I1194" s="294" t="str">
        <f ca="1">IF(ISERROR($S1194),"",OFFSET('Smelter Reference List'!$H$4,$S1194-4,0))</f>
        <v/>
      </c>
      <c r="J1194" s="294" t="str">
        <f ca="1">IF(ISERROR($S1194),"",OFFSET('Smelter Reference List'!$I$4,$S1194-4,0))</f>
        <v/>
      </c>
      <c r="K1194" s="295"/>
      <c r="L1194" s="295"/>
      <c r="M1194" s="295"/>
      <c r="N1194" s="295"/>
      <c r="O1194" s="295"/>
      <c r="P1194" s="295"/>
      <c r="Q1194" s="296"/>
      <c r="R1194" s="227"/>
      <c r="S1194" s="228" t="e">
        <f>IF(C1194="",NA(),MATCH($B1194&amp;$C1194,'Smelter Reference List'!$J:$J,0))</f>
        <v>#N/A</v>
      </c>
      <c r="T1194" s="229"/>
      <c r="U1194" s="229">
        <f t="shared" ca="1" si="38"/>
        <v>0</v>
      </c>
      <c r="V1194" s="229"/>
      <c r="W1194" s="229"/>
      <c r="Y1194" s="223" t="str">
        <f t="shared" si="39"/>
        <v/>
      </c>
    </row>
    <row r="1195" spans="1:25" s="223" customFormat="1" ht="20.25">
      <c r="A1195" s="291"/>
      <c r="B1195" s="292" t="str">
        <f>IF(LEN(A1195)=0,"",INDEX('Smelter Reference List'!$A:$A,MATCH($A1195,'Smelter Reference List'!$E:$E,0)))</f>
        <v/>
      </c>
      <c r="C1195" s="298" t="str">
        <f>IF(LEN(A1195)=0,"",INDEX('Smelter Reference List'!$C:$C,MATCH($A1195,'Smelter Reference List'!$E:$E,0)))</f>
        <v/>
      </c>
      <c r="D1195" s="292" t="str">
        <f ca="1">IF(ISERROR($S1195),"",OFFSET('Smelter Reference List'!$C$4,$S1195-4,0)&amp;"")</f>
        <v/>
      </c>
      <c r="E1195" s="292" t="str">
        <f ca="1">IF(ISERROR($S1195),"",OFFSET('Smelter Reference List'!$D$4,$S1195-4,0)&amp;"")</f>
        <v/>
      </c>
      <c r="F1195" s="292" t="str">
        <f ca="1">IF(ISERROR($S1195),"",OFFSET('Smelter Reference List'!$E$4,$S1195-4,0))</f>
        <v/>
      </c>
      <c r="G1195" s="292" t="str">
        <f ca="1">IF(C1195=$U$4,"Enter smelter details", IF(ISERROR($S1195),"",OFFSET('Smelter Reference List'!$F$4,$S1195-4,0)))</f>
        <v/>
      </c>
      <c r="H1195" s="293" t="str">
        <f ca="1">IF(ISERROR($S1195),"",OFFSET('Smelter Reference List'!$G$4,$S1195-4,0))</f>
        <v/>
      </c>
      <c r="I1195" s="294" t="str">
        <f ca="1">IF(ISERROR($S1195),"",OFFSET('Smelter Reference List'!$H$4,$S1195-4,0))</f>
        <v/>
      </c>
      <c r="J1195" s="294" t="str">
        <f ca="1">IF(ISERROR($S1195),"",OFFSET('Smelter Reference List'!$I$4,$S1195-4,0))</f>
        <v/>
      </c>
      <c r="K1195" s="295"/>
      <c r="L1195" s="295"/>
      <c r="M1195" s="295"/>
      <c r="N1195" s="295"/>
      <c r="O1195" s="295"/>
      <c r="P1195" s="295"/>
      <c r="Q1195" s="296"/>
      <c r="R1195" s="227"/>
      <c r="S1195" s="228" t="e">
        <f>IF(C1195="",NA(),MATCH($B1195&amp;$C1195,'Smelter Reference List'!$J:$J,0))</f>
        <v>#N/A</v>
      </c>
      <c r="T1195" s="229"/>
      <c r="U1195" s="229">
        <f t="shared" ca="1" si="38"/>
        <v>0</v>
      </c>
      <c r="V1195" s="229"/>
      <c r="W1195" s="229"/>
      <c r="Y1195" s="223" t="str">
        <f t="shared" si="39"/>
        <v/>
      </c>
    </row>
    <row r="1196" spans="1:25" s="223" customFormat="1" ht="20.25">
      <c r="A1196" s="291"/>
      <c r="B1196" s="292" t="str">
        <f>IF(LEN(A1196)=0,"",INDEX('Smelter Reference List'!$A:$A,MATCH($A1196,'Smelter Reference List'!$E:$E,0)))</f>
        <v/>
      </c>
      <c r="C1196" s="298" t="str">
        <f>IF(LEN(A1196)=0,"",INDEX('Smelter Reference List'!$C:$C,MATCH($A1196,'Smelter Reference List'!$E:$E,0)))</f>
        <v/>
      </c>
      <c r="D1196" s="292" t="str">
        <f ca="1">IF(ISERROR($S1196),"",OFFSET('Smelter Reference List'!$C$4,$S1196-4,0)&amp;"")</f>
        <v/>
      </c>
      <c r="E1196" s="292" t="str">
        <f ca="1">IF(ISERROR($S1196),"",OFFSET('Smelter Reference List'!$D$4,$S1196-4,0)&amp;"")</f>
        <v/>
      </c>
      <c r="F1196" s="292" t="str">
        <f ca="1">IF(ISERROR($S1196),"",OFFSET('Smelter Reference List'!$E$4,$S1196-4,0))</f>
        <v/>
      </c>
      <c r="G1196" s="292" t="str">
        <f ca="1">IF(C1196=$U$4,"Enter smelter details", IF(ISERROR($S1196),"",OFFSET('Smelter Reference List'!$F$4,$S1196-4,0)))</f>
        <v/>
      </c>
      <c r="H1196" s="293" t="str">
        <f ca="1">IF(ISERROR($S1196),"",OFFSET('Smelter Reference List'!$G$4,$S1196-4,0))</f>
        <v/>
      </c>
      <c r="I1196" s="294" t="str">
        <f ca="1">IF(ISERROR($S1196),"",OFFSET('Smelter Reference List'!$H$4,$S1196-4,0))</f>
        <v/>
      </c>
      <c r="J1196" s="294" t="str">
        <f ca="1">IF(ISERROR($S1196),"",OFFSET('Smelter Reference List'!$I$4,$S1196-4,0))</f>
        <v/>
      </c>
      <c r="K1196" s="295"/>
      <c r="L1196" s="295"/>
      <c r="M1196" s="295"/>
      <c r="N1196" s="295"/>
      <c r="O1196" s="295"/>
      <c r="P1196" s="295"/>
      <c r="Q1196" s="296"/>
      <c r="R1196" s="227"/>
      <c r="S1196" s="228" t="e">
        <f>IF(C1196="",NA(),MATCH($B1196&amp;$C1196,'Smelter Reference List'!$J:$J,0))</f>
        <v>#N/A</v>
      </c>
      <c r="T1196" s="229"/>
      <c r="U1196" s="229">
        <f t="shared" ca="1" si="38"/>
        <v>0</v>
      </c>
      <c r="V1196" s="229"/>
      <c r="W1196" s="229"/>
      <c r="Y1196" s="223" t="str">
        <f t="shared" si="39"/>
        <v/>
      </c>
    </row>
    <row r="1197" spans="1:25" s="223" customFormat="1" ht="20.25">
      <c r="A1197" s="291"/>
      <c r="B1197" s="292" t="str">
        <f>IF(LEN(A1197)=0,"",INDEX('Smelter Reference List'!$A:$A,MATCH($A1197,'Smelter Reference List'!$E:$E,0)))</f>
        <v/>
      </c>
      <c r="C1197" s="298" t="str">
        <f>IF(LEN(A1197)=0,"",INDEX('Smelter Reference List'!$C:$C,MATCH($A1197,'Smelter Reference List'!$E:$E,0)))</f>
        <v/>
      </c>
      <c r="D1197" s="292" t="str">
        <f ca="1">IF(ISERROR($S1197),"",OFFSET('Smelter Reference List'!$C$4,$S1197-4,0)&amp;"")</f>
        <v/>
      </c>
      <c r="E1197" s="292" t="str">
        <f ca="1">IF(ISERROR($S1197),"",OFFSET('Smelter Reference List'!$D$4,$S1197-4,0)&amp;"")</f>
        <v/>
      </c>
      <c r="F1197" s="292" t="str">
        <f ca="1">IF(ISERROR($S1197),"",OFFSET('Smelter Reference List'!$E$4,$S1197-4,0))</f>
        <v/>
      </c>
      <c r="G1197" s="292" t="str">
        <f ca="1">IF(C1197=$U$4,"Enter smelter details", IF(ISERROR($S1197),"",OFFSET('Smelter Reference List'!$F$4,$S1197-4,0)))</f>
        <v/>
      </c>
      <c r="H1197" s="293" t="str">
        <f ca="1">IF(ISERROR($S1197),"",OFFSET('Smelter Reference List'!$G$4,$S1197-4,0))</f>
        <v/>
      </c>
      <c r="I1197" s="294" t="str">
        <f ca="1">IF(ISERROR($S1197),"",OFFSET('Smelter Reference List'!$H$4,$S1197-4,0))</f>
        <v/>
      </c>
      <c r="J1197" s="294" t="str">
        <f ca="1">IF(ISERROR($S1197),"",OFFSET('Smelter Reference List'!$I$4,$S1197-4,0))</f>
        <v/>
      </c>
      <c r="K1197" s="295"/>
      <c r="L1197" s="295"/>
      <c r="M1197" s="295"/>
      <c r="N1197" s="295"/>
      <c r="O1197" s="295"/>
      <c r="P1197" s="295"/>
      <c r="Q1197" s="296"/>
      <c r="R1197" s="227"/>
      <c r="S1197" s="228" t="e">
        <f>IF(C1197="",NA(),MATCH($B1197&amp;$C1197,'Smelter Reference List'!$J:$J,0))</f>
        <v>#N/A</v>
      </c>
      <c r="T1197" s="229"/>
      <c r="U1197" s="229">
        <f t="shared" ca="1" si="38"/>
        <v>0</v>
      </c>
      <c r="V1197" s="229"/>
      <c r="W1197" s="229"/>
      <c r="Y1197" s="223" t="str">
        <f t="shared" si="39"/>
        <v/>
      </c>
    </row>
    <row r="1198" spans="1:25" s="223" customFormat="1" ht="20.25">
      <c r="A1198" s="291"/>
      <c r="B1198" s="292" t="str">
        <f>IF(LEN(A1198)=0,"",INDEX('Smelter Reference List'!$A:$A,MATCH($A1198,'Smelter Reference List'!$E:$E,0)))</f>
        <v/>
      </c>
      <c r="C1198" s="298" t="str">
        <f>IF(LEN(A1198)=0,"",INDEX('Smelter Reference List'!$C:$C,MATCH($A1198,'Smelter Reference List'!$E:$E,0)))</f>
        <v/>
      </c>
      <c r="D1198" s="292" t="str">
        <f ca="1">IF(ISERROR($S1198),"",OFFSET('Smelter Reference List'!$C$4,$S1198-4,0)&amp;"")</f>
        <v/>
      </c>
      <c r="E1198" s="292" t="str">
        <f ca="1">IF(ISERROR($S1198),"",OFFSET('Smelter Reference List'!$D$4,$S1198-4,0)&amp;"")</f>
        <v/>
      </c>
      <c r="F1198" s="292" t="str">
        <f ca="1">IF(ISERROR($S1198),"",OFFSET('Smelter Reference List'!$E$4,$S1198-4,0))</f>
        <v/>
      </c>
      <c r="G1198" s="292" t="str">
        <f ca="1">IF(C1198=$U$4,"Enter smelter details", IF(ISERROR($S1198),"",OFFSET('Smelter Reference List'!$F$4,$S1198-4,0)))</f>
        <v/>
      </c>
      <c r="H1198" s="293" t="str">
        <f ca="1">IF(ISERROR($S1198),"",OFFSET('Smelter Reference List'!$G$4,$S1198-4,0))</f>
        <v/>
      </c>
      <c r="I1198" s="294" t="str">
        <f ca="1">IF(ISERROR($S1198),"",OFFSET('Smelter Reference List'!$H$4,$S1198-4,0))</f>
        <v/>
      </c>
      <c r="J1198" s="294" t="str">
        <f ca="1">IF(ISERROR($S1198),"",OFFSET('Smelter Reference List'!$I$4,$S1198-4,0))</f>
        <v/>
      </c>
      <c r="K1198" s="295"/>
      <c r="L1198" s="295"/>
      <c r="M1198" s="295"/>
      <c r="N1198" s="295"/>
      <c r="O1198" s="295"/>
      <c r="P1198" s="295"/>
      <c r="Q1198" s="296"/>
      <c r="R1198" s="227"/>
      <c r="S1198" s="228" t="e">
        <f>IF(C1198="",NA(),MATCH($B1198&amp;$C1198,'Smelter Reference List'!$J:$J,0))</f>
        <v>#N/A</v>
      </c>
      <c r="T1198" s="229"/>
      <c r="U1198" s="229">
        <f t="shared" ca="1" si="38"/>
        <v>0</v>
      </c>
      <c r="V1198" s="229"/>
      <c r="W1198" s="229"/>
      <c r="Y1198" s="223" t="str">
        <f t="shared" si="39"/>
        <v/>
      </c>
    </row>
    <row r="1199" spans="1:25" s="223" customFormat="1" ht="20.25">
      <c r="A1199" s="291"/>
      <c r="B1199" s="292" t="str">
        <f>IF(LEN(A1199)=0,"",INDEX('Smelter Reference List'!$A:$A,MATCH($A1199,'Smelter Reference List'!$E:$E,0)))</f>
        <v/>
      </c>
      <c r="C1199" s="298" t="str">
        <f>IF(LEN(A1199)=0,"",INDEX('Smelter Reference List'!$C:$C,MATCH($A1199,'Smelter Reference List'!$E:$E,0)))</f>
        <v/>
      </c>
      <c r="D1199" s="292" t="str">
        <f ca="1">IF(ISERROR($S1199),"",OFFSET('Smelter Reference List'!$C$4,$S1199-4,0)&amp;"")</f>
        <v/>
      </c>
      <c r="E1199" s="292" t="str">
        <f ca="1">IF(ISERROR($S1199),"",OFFSET('Smelter Reference List'!$D$4,$S1199-4,0)&amp;"")</f>
        <v/>
      </c>
      <c r="F1199" s="292" t="str">
        <f ca="1">IF(ISERROR($S1199),"",OFFSET('Smelter Reference List'!$E$4,$S1199-4,0))</f>
        <v/>
      </c>
      <c r="G1199" s="292" t="str">
        <f ca="1">IF(C1199=$U$4,"Enter smelter details", IF(ISERROR($S1199),"",OFFSET('Smelter Reference List'!$F$4,$S1199-4,0)))</f>
        <v/>
      </c>
      <c r="H1199" s="293" t="str">
        <f ca="1">IF(ISERROR($S1199),"",OFFSET('Smelter Reference List'!$G$4,$S1199-4,0))</f>
        <v/>
      </c>
      <c r="I1199" s="294" t="str">
        <f ca="1">IF(ISERROR($S1199),"",OFFSET('Smelter Reference List'!$H$4,$S1199-4,0))</f>
        <v/>
      </c>
      <c r="J1199" s="294" t="str">
        <f ca="1">IF(ISERROR($S1199),"",OFFSET('Smelter Reference List'!$I$4,$S1199-4,0))</f>
        <v/>
      </c>
      <c r="K1199" s="295"/>
      <c r="L1199" s="295"/>
      <c r="M1199" s="295"/>
      <c r="N1199" s="295"/>
      <c r="O1199" s="295"/>
      <c r="P1199" s="295"/>
      <c r="Q1199" s="296"/>
      <c r="R1199" s="227"/>
      <c r="S1199" s="228" t="e">
        <f>IF(C1199="",NA(),MATCH($B1199&amp;$C1199,'Smelter Reference List'!$J:$J,0))</f>
        <v>#N/A</v>
      </c>
      <c r="T1199" s="229"/>
      <c r="U1199" s="229">
        <f t="shared" ca="1" si="38"/>
        <v>0</v>
      </c>
      <c r="V1199" s="229"/>
      <c r="W1199" s="229"/>
      <c r="Y1199" s="223" t="str">
        <f t="shared" si="39"/>
        <v/>
      </c>
    </row>
    <row r="1200" spans="1:25" s="223" customFormat="1" ht="20.25">
      <c r="A1200" s="291"/>
      <c r="B1200" s="292" t="str">
        <f>IF(LEN(A1200)=0,"",INDEX('Smelter Reference List'!$A:$A,MATCH($A1200,'Smelter Reference List'!$E:$E,0)))</f>
        <v/>
      </c>
      <c r="C1200" s="298" t="str">
        <f>IF(LEN(A1200)=0,"",INDEX('Smelter Reference List'!$C:$C,MATCH($A1200,'Smelter Reference List'!$E:$E,0)))</f>
        <v/>
      </c>
      <c r="D1200" s="292" t="str">
        <f ca="1">IF(ISERROR($S1200),"",OFFSET('Smelter Reference List'!$C$4,$S1200-4,0)&amp;"")</f>
        <v/>
      </c>
      <c r="E1200" s="292" t="str">
        <f ca="1">IF(ISERROR($S1200),"",OFFSET('Smelter Reference List'!$D$4,$S1200-4,0)&amp;"")</f>
        <v/>
      </c>
      <c r="F1200" s="292" t="str">
        <f ca="1">IF(ISERROR($S1200),"",OFFSET('Smelter Reference List'!$E$4,$S1200-4,0))</f>
        <v/>
      </c>
      <c r="G1200" s="292" t="str">
        <f ca="1">IF(C1200=$U$4,"Enter smelter details", IF(ISERROR($S1200),"",OFFSET('Smelter Reference List'!$F$4,$S1200-4,0)))</f>
        <v/>
      </c>
      <c r="H1200" s="293" t="str">
        <f ca="1">IF(ISERROR($S1200),"",OFFSET('Smelter Reference List'!$G$4,$S1200-4,0))</f>
        <v/>
      </c>
      <c r="I1200" s="294" t="str">
        <f ca="1">IF(ISERROR($S1200),"",OFFSET('Smelter Reference List'!$H$4,$S1200-4,0))</f>
        <v/>
      </c>
      <c r="J1200" s="294" t="str">
        <f ca="1">IF(ISERROR($S1200),"",OFFSET('Smelter Reference List'!$I$4,$S1200-4,0))</f>
        <v/>
      </c>
      <c r="K1200" s="295"/>
      <c r="L1200" s="295"/>
      <c r="M1200" s="295"/>
      <c r="N1200" s="295"/>
      <c r="O1200" s="295"/>
      <c r="P1200" s="295"/>
      <c r="Q1200" s="296"/>
      <c r="R1200" s="227"/>
      <c r="S1200" s="228" t="e">
        <f>IF(C1200="",NA(),MATCH($B1200&amp;$C1200,'Smelter Reference List'!$J:$J,0))</f>
        <v>#N/A</v>
      </c>
      <c r="T1200" s="229"/>
      <c r="U1200" s="229">
        <f t="shared" ca="1" si="38"/>
        <v>0</v>
      </c>
      <c r="V1200" s="229"/>
      <c r="W1200" s="229"/>
      <c r="Y1200" s="223" t="str">
        <f t="shared" si="39"/>
        <v/>
      </c>
    </row>
    <row r="1201" spans="1:25" s="223" customFormat="1" ht="20.25">
      <c r="A1201" s="291"/>
      <c r="B1201" s="292" t="str">
        <f>IF(LEN(A1201)=0,"",INDEX('Smelter Reference List'!$A:$A,MATCH($A1201,'Smelter Reference List'!$E:$E,0)))</f>
        <v/>
      </c>
      <c r="C1201" s="298" t="str">
        <f>IF(LEN(A1201)=0,"",INDEX('Smelter Reference List'!$C:$C,MATCH($A1201,'Smelter Reference List'!$E:$E,0)))</f>
        <v/>
      </c>
      <c r="D1201" s="292" t="str">
        <f ca="1">IF(ISERROR($S1201),"",OFFSET('Smelter Reference List'!$C$4,$S1201-4,0)&amp;"")</f>
        <v/>
      </c>
      <c r="E1201" s="292" t="str">
        <f ca="1">IF(ISERROR($S1201),"",OFFSET('Smelter Reference List'!$D$4,$S1201-4,0)&amp;"")</f>
        <v/>
      </c>
      <c r="F1201" s="292" t="str">
        <f ca="1">IF(ISERROR($S1201),"",OFFSET('Smelter Reference List'!$E$4,$S1201-4,0))</f>
        <v/>
      </c>
      <c r="G1201" s="292" t="str">
        <f ca="1">IF(C1201=$U$4,"Enter smelter details", IF(ISERROR($S1201),"",OFFSET('Smelter Reference List'!$F$4,$S1201-4,0)))</f>
        <v/>
      </c>
      <c r="H1201" s="293" t="str">
        <f ca="1">IF(ISERROR($S1201),"",OFFSET('Smelter Reference List'!$G$4,$S1201-4,0))</f>
        <v/>
      </c>
      <c r="I1201" s="294" t="str">
        <f ca="1">IF(ISERROR($S1201),"",OFFSET('Smelter Reference List'!$H$4,$S1201-4,0))</f>
        <v/>
      </c>
      <c r="J1201" s="294" t="str">
        <f ca="1">IF(ISERROR($S1201),"",OFFSET('Smelter Reference List'!$I$4,$S1201-4,0))</f>
        <v/>
      </c>
      <c r="K1201" s="295"/>
      <c r="L1201" s="295"/>
      <c r="M1201" s="295"/>
      <c r="N1201" s="295"/>
      <c r="O1201" s="295"/>
      <c r="P1201" s="295"/>
      <c r="Q1201" s="296"/>
      <c r="R1201" s="227"/>
      <c r="S1201" s="228" t="e">
        <f>IF(C1201="",NA(),MATCH($B1201&amp;$C1201,'Smelter Reference List'!$J:$J,0))</f>
        <v>#N/A</v>
      </c>
      <c r="T1201" s="229"/>
      <c r="U1201" s="229">
        <f t="shared" ca="1" si="38"/>
        <v>0</v>
      </c>
      <c r="V1201" s="229"/>
      <c r="W1201" s="229"/>
      <c r="Y1201" s="223" t="str">
        <f t="shared" si="39"/>
        <v/>
      </c>
    </row>
    <row r="1202" spans="1:25" s="223" customFormat="1" ht="20.25">
      <c r="A1202" s="291"/>
      <c r="B1202" s="292" t="str">
        <f>IF(LEN(A1202)=0,"",INDEX('Smelter Reference List'!$A:$A,MATCH($A1202,'Smelter Reference List'!$E:$E,0)))</f>
        <v/>
      </c>
      <c r="C1202" s="298" t="str">
        <f>IF(LEN(A1202)=0,"",INDEX('Smelter Reference List'!$C:$C,MATCH($A1202,'Smelter Reference List'!$E:$E,0)))</f>
        <v/>
      </c>
      <c r="D1202" s="292" t="str">
        <f ca="1">IF(ISERROR($S1202),"",OFFSET('Smelter Reference List'!$C$4,$S1202-4,0)&amp;"")</f>
        <v/>
      </c>
      <c r="E1202" s="292" t="str">
        <f ca="1">IF(ISERROR($S1202),"",OFFSET('Smelter Reference List'!$D$4,$S1202-4,0)&amp;"")</f>
        <v/>
      </c>
      <c r="F1202" s="292" t="str">
        <f ca="1">IF(ISERROR($S1202),"",OFFSET('Smelter Reference List'!$E$4,$S1202-4,0))</f>
        <v/>
      </c>
      <c r="G1202" s="292" t="str">
        <f ca="1">IF(C1202=$U$4,"Enter smelter details", IF(ISERROR($S1202),"",OFFSET('Smelter Reference List'!$F$4,$S1202-4,0)))</f>
        <v/>
      </c>
      <c r="H1202" s="293" t="str">
        <f ca="1">IF(ISERROR($S1202),"",OFFSET('Smelter Reference List'!$G$4,$S1202-4,0))</f>
        <v/>
      </c>
      <c r="I1202" s="294" t="str">
        <f ca="1">IF(ISERROR($S1202),"",OFFSET('Smelter Reference List'!$H$4,$S1202-4,0))</f>
        <v/>
      </c>
      <c r="J1202" s="294" t="str">
        <f ca="1">IF(ISERROR($S1202),"",OFFSET('Smelter Reference List'!$I$4,$S1202-4,0))</f>
        <v/>
      </c>
      <c r="K1202" s="295"/>
      <c r="L1202" s="295"/>
      <c r="M1202" s="295"/>
      <c r="N1202" s="295"/>
      <c r="O1202" s="295"/>
      <c r="P1202" s="295"/>
      <c r="Q1202" s="296"/>
      <c r="R1202" s="227"/>
      <c r="S1202" s="228" t="e">
        <f>IF(C1202="",NA(),MATCH($B1202&amp;$C1202,'Smelter Reference List'!$J:$J,0))</f>
        <v>#N/A</v>
      </c>
      <c r="T1202" s="229"/>
      <c r="U1202" s="229">
        <f t="shared" ca="1" si="38"/>
        <v>0</v>
      </c>
      <c r="V1202" s="229"/>
      <c r="W1202" s="229"/>
      <c r="Y1202" s="223" t="str">
        <f t="shared" si="39"/>
        <v/>
      </c>
    </row>
    <row r="1203" spans="1:25" s="223" customFormat="1" ht="20.25">
      <c r="A1203" s="291"/>
      <c r="B1203" s="292" t="str">
        <f>IF(LEN(A1203)=0,"",INDEX('Smelter Reference List'!$A:$A,MATCH($A1203,'Smelter Reference List'!$E:$E,0)))</f>
        <v/>
      </c>
      <c r="C1203" s="298" t="str">
        <f>IF(LEN(A1203)=0,"",INDEX('Smelter Reference List'!$C:$C,MATCH($A1203,'Smelter Reference List'!$E:$E,0)))</f>
        <v/>
      </c>
      <c r="D1203" s="292" t="str">
        <f ca="1">IF(ISERROR($S1203),"",OFFSET('Smelter Reference List'!$C$4,$S1203-4,0)&amp;"")</f>
        <v/>
      </c>
      <c r="E1203" s="292" t="str">
        <f ca="1">IF(ISERROR($S1203),"",OFFSET('Smelter Reference List'!$D$4,$S1203-4,0)&amp;"")</f>
        <v/>
      </c>
      <c r="F1203" s="292" t="str">
        <f ca="1">IF(ISERROR($S1203),"",OFFSET('Smelter Reference List'!$E$4,$S1203-4,0))</f>
        <v/>
      </c>
      <c r="G1203" s="292" t="str">
        <f ca="1">IF(C1203=$U$4,"Enter smelter details", IF(ISERROR($S1203),"",OFFSET('Smelter Reference List'!$F$4,$S1203-4,0)))</f>
        <v/>
      </c>
      <c r="H1203" s="293" t="str">
        <f ca="1">IF(ISERROR($S1203),"",OFFSET('Smelter Reference List'!$G$4,$S1203-4,0))</f>
        <v/>
      </c>
      <c r="I1203" s="294" t="str">
        <f ca="1">IF(ISERROR($S1203),"",OFFSET('Smelter Reference List'!$H$4,$S1203-4,0))</f>
        <v/>
      </c>
      <c r="J1203" s="294" t="str">
        <f ca="1">IF(ISERROR($S1203),"",OFFSET('Smelter Reference List'!$I$4,$S1203-4,0))</f>
        <v/>
      </c>
      <c r="K1203" s="295"/>
      <c r="L1203" s="295"/>
      <c r="M1203" s="295"/>
      <c r="N1203" s="295"/>
      <c r="O1203" s="295"/>
      <c r="P1203" s="295"/>
      <c r="Q1203" s="296"/>
      <c r="R1203" s="227"/>
      <c r="S1203" s="228" t="e">
        <f>IF(C1203="",NA(),MATCH($B1203&amp;$C1203,'Smelter Reference List'!$J:$J,0))</f>
        <v>#N/A</v>
      </c>
      <c r="T1203" s="229"/>
      <c r="U1203" s="229">
        <f t="shared" ca="1" si="38"/>
        <v>0</v>
      </c>
      <c r="V1203" s="229"/>
      <c r="W1203" s="229"/>
      <c r="Y1203" s="223" t="str">
        <f t="shared" si="39"/>
        <v/>
      </c>
    </row>
    <row r="1204" spans="1:25" s="223" customFormat="1" ht="20.25">
      <c r="A1204" s="291"/>
      <c r="B1204" s="292" t="str">
        <f>IF(LEN(A1204)=0,"",INDEX('Smelter Reference List'!$A:$A,MATCH($A1204,'Smelter Reference List'!$E:$E,0)))</f>
        <v/>
      </c>
      <c r="C1204" s="298" t="str">
        <f>IF(LEN(A1204)=0,"",INDEX('Smelter Reference List'!$C:$C,MATCH($A1204,'Smelter Reference List'!$E:$E,0)))</f>
        <v/>
      </c>
      <c r="D1204" s="292" t="str">
        <f ca="1">IF(ISERROR($S1204),"",OFFSET('Smelter Reference List'!$C$4,$S1204-4,0)&amp;"")</f>
        <v/>
      </c>
      <c r="E1204" s="292" t="str">
        <f ca="1">IF(ISERROR($S1204),"",OFFSET('Smelter Reference List'!$D$4,$S1204-4,0)&amp;"")</f>
        <v/>
      </c>
      <c r="F1204" s="292" t="str">
        <f ca="1">IF(ISERROR($S1204),"",OFFSET('Smelter Reference List'!$E$4,$S1204-4,0))</f>
        <v/>
      </c>
      <c r="G1204" s="292" t="str">
        <f ca="1">IF(C1204=$U$4,"Enter smelter details", IF(ISERROR($S1204),"",OFFSET('Smelter Reference List'!$F$4,$S1204-4,0)))</f>
        <v/>
      </c>
      <c r="H1204" s="293" t="str">
        <f ca="1">IF(ISERROR($S1204),"",OFFSET('Smelter Reference List'!$G$4,$S1204-4,0))</f>
        <v/>
      </c>
      <c r="I1204" s="294" t="str">
        <f ca="1">IF(ISERROR($S1204),"",OFFSET('Smelter Reference List'!$H$4,$S1204-4,0))</f>
        <v/>
      </c>
      <c r="J1204" s="294" t="str">
        <f ca="1">IF(ISERROR($S1204),"",OFFSET('Smelter Reference List'!$I$4,$S1204-4,0))</f>
        <v/>
      </c>
      <c r="K1204" s="295"/>
      <c r="L1204" s="295"/>
      <c r="M1204" s="295"/>
      <c r="N1204" s="295"/>
      <c r="O1204" s="295"/>
      <c r="P1204" s="295"/>
      <c r="Q1204" s="296"/>
      <c r="R1204" s="227"/>
      <c r="S1204" s="228" t="e">
        <f>IF(C1204="",NA(),MATCH($B1204&amp;$C1204,'Smelter Reference List'!$J:$J,0))</f>
        <v>#N/A</v>
      </c>
      <c r="T1204" s="229"/>
      <c r="U1204" s="229">
        <f t="shared" ca="1" si="38"/>
        <v>0</v>
      </c>
      <c r="V1204" s="229"/>
      <c r="W1204" s="229"/>
      <c r="Y1204" s="223" t="str">
        <f t="shared" si="39"/>
        <v/>
      </c>
    </row>
    <row r="1205" spans="1:25" s="223" customFormat="1" ht="20.25">
      <c r="A1205" s="291"/>
      <c r="B1205" s="292" t="str">
        <f>IF(LEN(A1205)=0,"",INDEX('Smelter Reference List'!$A:$A,MATCH($A1205,'Smelter Reference List'!$E:$E,0)))</f>
        <v/>
      </c>
      <c r="C1205" s="298" t="str">
        <f>IF(LEN(A1205)=0,"",INDEX('Smelter Reference List'!$C:$C,MATCH($A1205,'Smelter Reference List'!$E:$E,0)))</f>
        <v/>
      </c>
      <c r="D1205" s="292" t="str">
        <f ca="1">IF(ISERROR($S1205),"",OFFSET('Smelter Reference List'!$C$4,$S1205-4,0)&amp;"")</f>
        <v/>
      </c>
      <c r="E1205" s="292" t="str">
        <f ca="1">IF(ISERROR($S1205),"",OFFSET('Smelter Reference List'!$D$4,$S1205-4,0)&amp;"")</f>
        <v/>
      </c>
      <c r="F1205" s="292" t="str">
        <f ca="1">IF(ISERROR($S1205),"",OFFSET('Smelter Reference List'!$E$4,$S1205-4,0))</f>
        <v/>
      </c>
      <c r="G1205" s="292" t="str">
        <f ca="1">IF(C1205=$U$4,"Enter smelter details", IF(ISERROR($S1205),"",OFFSET('Smelter Reference List'!$F$4,$S1205-4,0)))</f>
        <v/>
      </c>
      <c r="H1205" s="293" t="str">
        <f ca="1">IF(ISERROR($S1205),"",OFFSET('Smelter Reference List'!$G$4,$S1205-4,0))</f>
        <v/>
      </c>
      <c r="I1205" s="294" t="str">
        <f ca="1">IF(ISERROR($S1205),"",OFFSET('Smelter Reference List'!$H$4,$S1205-4,0))</f>
        <v/>
      </c>
      <c r="J1205" s="294" t="str">
        <f ca="1">IF(ISERROR($S1205),"",OFFSET('Smelter Reference List'!$I$4,$S1205-4,0))</f>
        <v/>
      </c>
      <c r="K1205" s="295"/>
      <c r="L1205" s="295"/>
      <c r="M1205" s="295"/>
      <c r="N1205" s="295"/>
      <c r="O1205" s="295"/>
      <c r="P1205" s="295"/>
      <c r="Q1205" s="296"/>
      <c r="R1205" s="227"/>
      <c r="S1205" s="228" t="e">
        <f>IF(C1205="",NA(),MATCH($B1205&amp;$C1205,'Smelter Reference List'!$J:$J,0))</f>
        <v>#N/A</v>
      </c>
      <c r="T1205" s="229"/>
      <c r="U1205" s="229">
        <f t="shared" ca="1" si="38"/>
        <v>0</v>
      </c>
      <c r="V1205" s="229"/>
      <c r="W1205" s="229"/>
      <c r="Y1205" s="223" t="str">
        <f t="shared" si="39"/>
        <v/>
      </c>
    </row>
    <row r="1206" spans="1:25" s="223" customFormat="1" ht="20.25">
      <c r="A1206" s="291"/>
      <c r="B1206" s="292" t="str">
        <f>IF(LEN(A1206)=0,"",INDEX('Smelter Reference List'!$A:$A,MATCH($A1206,'Smelter Reference List'!$E:$E,0)))</f>
        <v/>
      </c>
      <c r="C1206" s="298" t="str">
        <f>IF(LEN(A1206)=0,"",INDEX('Smelter Reference List'!$C:$C,MATCH($A1206,'Smelter Reference List'!$E:$E,0)))</f>
        <v/>
      </c>
      <c r="D1206" s="292" t="str">
        <f ca="1">IF(ISERROR($S1206),"",OFFSET('Smelter Reference List'!$C$4,$S1206-4,0)&amp;"")</f>
        <v/>
      </c>
      <c r="E1206" s="292" t="str">
        <f ca="1">IF(ISERROR($S1206),"",OFFSET('Smelter Reference List'!$D$4,$S1206-4,0)&amp;"")</f>
        <v/>
      </c>
      <c r="F1206" s="292" t="str">
        <f ca="1">IF(ISERROR($S1206),"",OFFSET('Smelter Reference List'!$E$4,$S1206-4,0))</f>
        <v/>
      </c>
      <c r="G1206" s="292" t="str">
        <f ca="1">IF(C1206=$U$4,"Enter smelter details", IF(ISERROR($S1206),"",OFFSET('Smelter Reference List'!$F$4,$S1206-4,0)))</f>
        <v/>
      </c>
      <c r="H1206" s="293" t="str">
        <f ca="1">IF(ISERROR($S1206),"",OFFSET('Smelter Reference List'!$G$4,$S1206-4,0))</f>
        <v/>
      </c>
      <c r="I1206" s="294" t="str">
        <f ca="1">IF(ISERROR($S1206),"",OFFSET('Smelter Reference List'!$H$4,$S1206-4,0))</f>
        <v/>
      </c>
      <c r="J1206" s="294" t="str">
        <f ca="1">IF(ISERROR($S1206),"",OFFSET('Smelter Reference List'!$I$4,$S1206-4,0))</f>
        <v/>
      </c>
      <c r="K1206" s="295"/>
      <c r="L1206" s="295"/>
      <c r="M1206" s="295"/>
      <c r="N1206" s="295"/>
      <c r="O1206" s="295"/>
      <c r="P1206" s="295"/>
      <c r="Q1206" s="296"/>
      <c r="R1206" s="227"/>
      <c r="S1206" s="228" t="e">
        <f>IF(C1206="",NA(),MATCH($B1206&amp;$C1206,'Smelter Reference List'!$J:$J,0))</f>
        <v>#N/A</v>
      </c>
      <c r="T1206" s="229"/>
      <c r="U1206" s="229">
        <f t="shared" ca="1" si="38"/>
        <v>0</v>
      </c>
      <c r="V1206" s="229"/>
      <c r="W1206" s="229"/>
      <c r="Y1206" s="223" t="str">
        <f t="shared" si="39"/>
        <v/>
      </c>
    </row>
    <row r="1207" spans="1:25" s="223" customFormat="1" ht="20.25">
      <c r="A1207" s="291"/>
      <c r="B1207" s="292" t="str">
        <f>IF(LEN(A1207)=0,"",INDEX('Smelter Reference List'!$A:$A,MATCH($A1207,'Smelter Reference List'!$E:$E,0)))</f>
        <v/>
      </c>
      <c r="C1207" s="298" t="str">
        <f>IF(LEN(A1207)=0,"",INDEX('Smelter Reference List'!$C:$C,MATCH($A1207,'Smelter Reference List'!$E:$E,0)))</f>
        <v/>
      </c>
      <c r="D1207" s="292" t="str">
        <f ca="1">IF(ISERROR($S1207),"",OFFSET('Smelter Reference List'!$C$4,$S1207-4,0)&amp;"")</f>
        <v/>
      </c>
      <c r="E1207" s="292" t="str">
        <f ca="1">IF(ISERROR($S1207),"",OFFSET('Smelter Reference List'!$D$4,$S1207-4,0)&amp;"")</f>
        <v/>
      </c>
      <c r="F1207" s="292" t="str">
        <f ca="1">IF(ISERROR($S1207),"",OFFSET('Smelter Reference List'!$E$4,$S1207-4,0))</f>
        <v/>
      </c>
      <c r="G1207" s="292" t="str">
        <f ca="1">IF(C1207=$U$4,"Enter smelter details", IF(ISERROR($S1207),"",OFFSET('Smelter Reference List'!$F$4,$S1207-4,0)))</f>
        <v/>
      </c>
      <c r="H1207" s="293" t="str">
        <f ca="1">IF(ISERROR($S1207),"",OFFSET('Smelter Reference List'!$G$4,$S1207-4,0))</f>
        <v/>
      </c>
      <c r="I1207" s="294" t="str">
        <f ca="1">IF(ISERROR($S1207),"",OFFSET('Smelter Reference List'!$H$4,$S1207-4,0))</f>
        <v/>
      </c>
      <c r="J1207" s="294" t="str">
        <f ca="1">IF(ISERROR($S1207),"",OFFSET('Smelter Reference List'!$I$4,$S1207-4,0))</f>
        <v/>
      </c>
      <c r="K1207" s="295"/>
      <c r="L1207" s="295"/>
      <c r="M1207" s="295"/>
      <c r="N1207" s="295"/>
      <c r="O1207" s="295"/>
      <c r="P1207" s="295"/>
      <c r="Q1207" s="296"/>
      <c r="R1207" s="227"/>
      <c r="S1207" s="228" t="e">
        <f>IF(C1207="",NA(),MATCH($B1207&amp;$C1207,'Smelter Reference List'!$J:$J,0))</f>
        <v>#N/A</v>
      </c>
      <c r="T1207" s="229"/>
      <c r="U1207" s="229">
        <f t="shared" ca="1" si="38"/>
        <v>0</v>
      </c>
      <c r="V1207" s="229"/>
      <c r="W1207" s="229"/>
      <c r="Y1207" s="223" t="str">
        <f t="shared" si="39"/>
        <v/>
      </c>
    </row>
    <row r="1208" spans="1:25" s="223" customFormat="1" ht="20.25">
      <c r="A1208" s="291"/>
      <c r="B1208" s="292" t="str">
        <f>IF(LEN(A1208)=0,"",INDEX('Smelter Reference List'!$A:$A,MATCH($A1208,'Smelter Reference List'!$E:$E,0)))</f>
        <v/>
      </c>
      <c r="C1208" s="298" t="str">
        <f>IF(LEN(A1208)=0,"",INDEX('Smelter Reference List'!$C:$C,MATCH($A1208,'Smelter Reference List'!$E:$E,0)))</f>
        <v/>
      </c>
      <c r="D1208" s="292" t="str">
        <f ca="1">IF(ISERROR($S1208),"",OFFSET('Smelter Reference List'!$C$4,$S1208-4,0)&amp;"")</f>
        <v/>
      </c>
      <c r="E1208" s="292" t="str">
        <f ca="1">IF(ISERROR($S1208),"",OFFSET('Smelter Reference List'!$D$4,$S1208-4,0)&amp;"")</f>
        <v/>
      </c>
      <c r="F1208" s="292" t="str">
        <f ca="1">IF(ISERROR($S1208),"",OFFSET('Smelter Reference List'!$E$4,$S1208-4,0))</f>
        <v/>
      </c>
      <c r="G1208" s="292" t="str">
        <f ca="1">IF(C1208=$U$4,"Enter smelter details", IF(ISERROR($S1208),"",OFFSET('Smelter Reference List'!$F$4,$S1208-4,0)))</f>
        <v/>
      </c>
      <c r="H1208" s="293" t="str">
        <f ca="1">IF(ISERROR($S1208),"",OFFSET('Smelter Reference List'!$G$4,$S1208-4,0))</f>
        <v/>
      </c>
      <c r="I1208" s="294" t="str">
        <f ca="1">IF(ISERROR($S1208),"",OFFSET('Smelter Reference List'!$H$4,$S1208-4,0))</f>
        <v/>
      </c>
      <c r="J1208" s="294" t="str">
        <f ca="1">IF(ISERROR($S1208),"",OFFSET('Smelter Reference List'!$I$4,$S1208-4,0))</f>
        <v/>
      </c>
      <c r="K1208" s="295"/>
      <c r="L1208" s="295"/>
      <c r="M1208" s="295"/>
      <c r="N1208" s="295"/>
      <c r="O1208" s="295"/>
      <c r="P1208" s="295"/>
      <c r="Q1208" s="296"/>
      <c r="R1208" s="227"/>
      <c r="S1208" s="228" t="e">
        <f>IF(C1208="",NA(),MATCH($B1208&amp;$C1208,'Smelter Reference List'!$J:$J,0))</f>
        <v>#N/A</v>
      </c>
      <c r="T1208" s="229"/>
      <c r="U1208" s="229">
        <f t="shared" ca="1" si="38"/>
        <v>0</v>
      </c>
      <c r="V1208" s="229"/>
      <c r="W1208" s="229"/>
      <c r="Y1208" s="223" t="str">
        <f t="shared" si="39"/>
        <v/>
      </c>
    </row>
    <row r="1209" spans="1:25" s="223" customFormat="1" ht="20.25">
      <c r="A1209" s="291"/>
      <c r="B1209" s="292" t="str">
        <f>IF(LEN(A1209)=0,"",INDEX('Smelter Reference List'!$A:$A,MATCH($A1209,'Smelter Reference List'!$E:$E,0)))</f>
        <v/>
      </c>
      <c r="C1209" s="298" t="str">
        <f>IF(LEN(A1209)=0,"",INDEX('Smelter Reference List'!$C:$C,MATCH($A1209,'Smelter Reference List'!$E:$E,0)))</f>
        <v/>
      </c>
      <c r="D1209" s="292" t="str">
        <f ca="1">IF(ISERROR($S1209),"",OFFSET('Smelter Reference List'!$C$4,$S1209-4,0)&amp;"")</f>
        <v/>
      </c>
      <c r="E1209" s="292" t="str">
        <f ca="1">IF(ISERROR($S1209),"",OFFSET('Smelter Reference List'!$D$4,$S1209-4,0)&amp;"")</f>
        <v/>
      </c>
      <c r="F1209" s="292" t="str">
        <f ca="1">IF(ISERROR($S1209),"",OFFSET('Smelter Reference List'!$E$4,$S1209-4,0))</f>
        <v/>
      </c>
      <c r="G1209" s="292" t="str">
        <f ca="1">IF(C1209=$U$4,"Enter smelter details", IF(ISERROR($S1209),"",OFFSET('Smelter Reference List'!$F$4,$S1209-4,0)))</f>
        <v/>
      </c>
      <c r="H1209" s="293" t="str">
        <f ca="1">IF(ISERROR($S1209),"",OFFSET('Smelter Reference List'!$G$4,$S1209-4,0))</f>
        <v/>
      </c>
      <c r="I1209" s="294" t="str">
        <f ca="1">IF(ISERROR($S1209),"",OFFSET('Smelter Reference List'!$H$4,$S1209-4,0))</f>
        <v/>
      </c>
      <c r="J1209" s="294" t="str">
        <f ca="1">IF(ISERROR($S1209),"",OFFSET('Smelter Reference List'!$I$4,$S1209-4,0))</f>
        <v/>
      </c>
      <c r="K1209" s="295"/>
      <c r="L1209" s="295"/>
      <c r="M1209" s="295"/>
      <c r="N1209" s="295"/>
      <c r="O1209" s="295"/>
      <c r="P1209" s="295"/>
      <c r="Q1209" s="296"/>
      <c r="R1209" s="227"/>
      <c r="S1209" s="228" t="e">
        <f>IF(C1209="",NA(),MATCH($B1209&amp;$C1209,'Smelter Reference List'!$J:$J,0))</f>
        <v>#N/A</v>
      </c>
      <c r="T1209" s="229"/>
      <c r="U1209" s="229">
        <f t="shared" ca="1" si="38"/>
        <v>0</v>
      </c>
      <c r="V1209" s="229"/>
      <c r="W1209" s="229"/>
      <c r="Y1209" s="223" t="str">
        <f t="shared" si="39"/>
        <v/>
      </c>
    </row>
    <row r="1210" spans="1:25" s="223" customFormat="1" ht="20.25">
      <c r="A1210" s="291"/>
      <c r="B1210" s="292" t="str">
        <f>IF(LEN(A1210)=0,"",INDEX('Smelter Reference List'!$A:$A,MATCH($A1210,'Smelter Reference List'!$E:$E,0)))</f>
        <v/>
      </c>
      <c r="C1210" s="298" t="str">
        <f>IF(LEN(A1210)=0,"",INDEX('Smelter Reference List'!$C:$C,MATCH($A1210,'Smelter Reference List'!$E:$E,0)))</f>
        <v/>
      </c>
      <c r="D1210" s="292" t="str">
        <f ca="1">IF(ISERROR($S1210),"",OFFSET('Smelter Reference List'!$C$4,$S1210-4,0)&amp;"")</f>
        <v/>
      </c>
      <c r="E1210" s="292" t="str">
        <f ca="1">IF(ISERROR($S1210),"",OFFSET('Smelter Reference List'!$D$4,$S1210-4,0)&amp;"")</f>
        <v/>
      </c>
      <c r="F1210" s="292" t="str">
        <f ca="1">IF(ISERROR($S1210),"",OFFSET('Smelter Reference List'!$E$4,$S1210-4,0))</f>
        <v/>
      </c>
      <c r="G1210" s="292" t="str">
        <f ca="1">IF(C1210=$U$4,"Enter smelter details", IF(ISERROR($S1210),"",OFFSET('Smelter Reference List'!$F$4,$S1210-4,0)))</f>
        <v/>
      </c>
      <c r="H1210" s="293" t="str">
        <f ca="1">IF(ISERROR($S1210),"",OFFSET('Smelter Reference List'!$G$4,$S1210-4,0))</f>
        <v/>
      </c>
      <c r="I1210" s="294" t="str">
        <f ca="1">IF(ISERROR($S1210),"",OFFSET('Smelter Reference List'!$H$4,$S1210-4,0))</f>
        <v/>
      </c>
      <c r="J1210" s="294" t="str">
        <f ca="1">IF(ISERROR($S1210),"",OFFSET('Smelter Reference List'!$I$4,$S1210-4,0))</f>
        <v/>
      </c>
      <c r="K1210" s="295"/>
      <c r="L1210" s="295"/>
      <c r="M1210" s="295"/>
      <c r="N1210" s="295"/>
      <c r="O1210" s="295"/>
      <c r="P1210" s="295"/>
      <c r="Q1210" s="296"/>
      <c r="R1210" s="227"/>
      <c r="S1210" s="228" t="e">
        <f>IF(C1210="",NA(),MATCH($B1210&amp;$C1210,'Smelter Reference List'!$J:$J,0))</f>
        <v>#N/A</v>
      </c>
      <c r="T1210" s="229"/>
      <c r="U1210" s="229">
        <f t="shared" ca="1" si="38"/>
        <v>0</v>
      </c>
      <c r="V1210" s="229"/>
      <c r="W1210" s="229"/>
      <c r="Y1210" s="223" t="str">
        <f t="shared" si="39"/>
        <v/>
      </c>
    </row>
    <row r="1211" spans="1:25" s="223" customFormat="1" ht="20.25">
      <c r="A1211" s="291"/>
      <c r="B1211" s="292" t="str">
        <f>IF(LEN(A1211)=0,"",INDEX('Smelter Reference List'!$A:$A,MATCH($A1211,'Smelter Reference List'!$E:$E,0)))</f>
        <v/>
      </c>
      <c r="C1211" s="298" t="str">
        <f>IF(LEN(A1211)=0,"",INDEX('Smelter Reference List'!$C:$C,MATCH($A1211,'Smelter Reference List'!$E:$E,0)))</f>
        <v/>
      </c>
      <c r="D1211" s="292" t="str">
        <f ca="1">IF(ISERROR($S1211),"",OFFSET('Smelter Reference List'!$C$4,$S1211-4,0)&amp;"")</f>
        <v/>
      </c>
      <c r="E1211" s="292" t="str">
        <f ca="1">IF(ISERROR($S1211),"",OFFSET('Smelter Reference List'!$D$4,$S1211-4,0)&amp;"")</f>
        <v/>
      </c>
      <c r="F1211" s="292" t="str">
        <f ca="1">IF(ISERROR($S1211),"",OFFSET('Smelter Reference List'!$E$4,$S1211-4,0))</f>
        <v/>
      </c>
      <c r="G1211" s="292" t="str">
        <f ca="1">IF(C1211=$U$4,"Enter smelter details", IF(ISERROR($S1211),"",OFFSET('Smelter Reference List'!$F$4,$S1211-4,0)))</f>
        <v/>
      </c>
      <c r="H1211" s="293" t="str">
        <f ca="1">IF(ISERROR($S1211),"",OFFSET('Smelter Reference List'!$G$4,$S1211-4,0))</f>
        <v/>
      </c>
      <c r="I1211" s="294" t="str">
        <f ca="1">IF(ISERROR($S1211),"",OFFSET('Smelter Reference List'!$H$4,$S1211-4,0))</f>
        <v/>
      </c>
      <c r="J1211" s="294" t="str">
        <f ca="1">IF(ISERROR($S1211),"",OFFSET('Smelter Reference List'!$I$4,$S1211-4,0))</f>
        <v/>
      </c>
      <c r="K1211" s="295"/>
      <c r="L1211" s="295"/>
      <c r="M1211" s="295"/>
      <c r="N1211" s="295"/>
      <c r="O1211" s="295"/>
      <c r="P1211" s="295"/>
      <c r="Q1211" s="296"/>
      <c r="R1211" s="227"/>
      <c r="S1211" s="228" t="e">
        <f>IF(C1211="",NA(),MATCH($B1211&amp;$C1211,'Smelter Reference List'!$J:$J,0))</f>
        <v>#N/A</v>
      </c>
      <c r="T1211" s="229"/>
      <c r="U1211" s="229">
        <f t="shared" ca="1" si="38"/>
        <v>0</v>
      </c>
      <c r="V1211" s="229"/>
      <c r="W1211" s="229"/>
      <c r="Y1211" s="223" t="str">
        <f t="shared" si="39"/>
        <v/>
      </c>
    </row>
    <row r="1212" spans="1:25" s="223" customFormat="1" ht="20.25">
      <c r="A1212" s="291"/>
      <c r="B1212" s="292" t="str">
        <f>IF(LEN(A1212)=0,"",INDEX('Smelter Reference List'!$A:$A,MATCH($A1212,'Smelter Reference List'!$E:$E,0)))</f>
        <v/>
      </c>
      <c r="C1212" s="298" t="str">
        <f>IF(LEN(A1212)=0,"",INDEX('Smelter Reference List'!$C:$C,MATCH($A1212,'Smelter Reference List'!$E:$E,0)))</f>
        <v/>
      </c>
      <c r="D1212" s="292" t="str">
        <f ca="1">IF(ISERROR($S1212),"",OFFSET('Smelter Reference List'!$C$4,$S1212-4,0)&amp;"")</f>
        <v/>
      </c>
      <c r="E1212" s="292" t="str">
        <f ca="1">IF(ISERROR($S1212),"",OFFSET('Smelter Reference List'!$D$4,$S1212-4,0)&amp;"")</f>
        <v/>
      </c>
      <c r="F1212" s="292" t="str">
        <f ca="1">IF(ISERROR($S1212),"",OFFSET('Smelter Reference List'!$E$4,$S1212-4,0))</f>
        <v/>
      </c>
      <c r="G1212" s="292" t="str">
        <f ca="1">IF(C1212=$U$4,"Enter smelter details", IF(ISERROR($S1212),"",OFFSET('Smelter Reference List'!$F$4,$S1212-4,0)))</f>
        <v/>
      </c>
      <c r="H1212" s="293" t="str">
        <f ca="1">IF(ISERROR($S1212),"",OFFSET('Smelter Reference List'!$G$4,$S1212-4,0))</f>
        <v/>
      </c>
      <c r="I1212" s="294" t="str">
        <f ca="1">IF(ISERROR($S1212),"",OFFSET('Smelter Reference List'!$H$4,$S1212-4,0))</f>
        <v/>
      </c>
      <c r="J1212" s="294" t="str">
        <f ca="1">IF(ISERROR($S1212),"",OFFSET('Smelter Reference List'!$I$4,$S1212-4,0))</f>
        <v/>
      </c>
      <c r="K1212" s="295"/>
      <c r="L1212" s="295"/>
      <c r="M1212" s="295"/>
      <c r="N1212" s="295"/>
      <c r="O1212" s="295"/>
      <c r="P1212" s="295"/>
      <c r="Q1212" s="296"/>
      <c r="R1212" s="227"/>
      <c r="S1212" s="228" t="e">
        <f>IF(C1212="",NA(),MATCH($B1212&amp;$C1212,'Smelter Reference List'!$J:$J,0))</f>
        <v>#N/A</v>
      </c>
      <c r="T1212" s="229"/>
      <c r="U1212" s="229">
        <f t="shared" ca="1" si="38"/>
        <v>0</v>
      </c>
      <c r="V1212" s="229"/>
      <c r="W1212" s="229"/>
      <c r="Y1212" s="223" t="str">
        <f t="shared" si="39"/>
        <v/>
      </c>
    </row>
    <row r="1213" spans="1:25" s="223" customFormat="1" ht="20.25">
      <c r="A1213" s="291"/>
      <c r="B1213" s="292" t="str">
        <f>IF(LEN(A1213)=0,"",INDEX('Smelter Reference List'!$A:$A,MATCH($A1213,'Smelter Reference List'!$E:$E,0)))</f>
        <v/>
      </c>
      <c r="C1213" s="298" t="str">
        <f>IF(LEN(A1213)=0,"",INDEX('Smelter Reference List'!$C:$C,MATCH($A1213,'Smelter Reference List'!$E:$E,0)))</f>
        <v/>
      </c>
      <c r="D1213" s="292" t="str">
        <f ca="1">IF(ISERROR($S1213),"",OFFSET('Smelter Reference List'!$C$4,$S1213-4,0)&amp;"")</f>
        <v/>
      </c>
      <c r="E1213" s="292" t="str">
        <f ca="1">IF(ISERROR($S1213),"",OFFSET('Smelter Reference List'!$D$4,$S1213-4,0)&amp;"")</f>
        <v/>
      </c>
      <c r="F1213" s="292" t="str">
        <f ca="1">IF(ISERROR($S1213),"",OFFSET('Smelter Reference List'!$E$4,$S1213-4,0))</f>
        <v/>
      </c>
      <c r="G1213" s="292" t="str">
        <f ca="1">IF(C1213=$U$4,"Enter smelter details", IF(ISERROR($S1213),"",OFFSET('Smelter Reference List'!$F$4,$S1213-4,0)))</f>
        <v/>
      </c>
      <c r="H1213" s="293" t="str">
        <f ca="1">IF(ISERROR($S1213),"",OFFSET('Smelter Reference List'!$G$4,$S1213-4,0))</f>
        <v/>
      </c>
      <c r="I1213" s="294" t="str">
        <f ca="1">IF(ISERROR($S1213),"",OFFSET('Smelter Reference List'!$H$4,$S1213-4,0))</f>
        <v/>
      </c>
      <c r="J1213" s="294" t="str">
        <f ca="1">IF(ISERROR($S1213),"",OFFSET('Smelter Reference List'!$I$4,$S1213-4,0))</f>
        <v/>
      </c>
      <c r="K1213" s="295"/>
      <c r="L1213" s="295"/>
      <c r="M1213" s="295"/>
      <c r="N1213" s="295"/>
      <c r="O1213" s="295"/>
      <c r="P1213" s="295"/>
      <c r="Q1213" s="296"/>
      <c r="R1213" s="227"/>
      <c r="S1213" s="228" t="e">
        <f>IF(C1213="",NA(),MATCH($B1213&amp;$C1213,'Smelter Reference List'!$J:$J,0))</f>
        <v>#N/A</v>
      </c>
      <c r="T1213" s="229"/>
      <c r="U1213" s="229">
        <f t="shared" ca="1" si="38"/>
        <v>0</v>
      </c>
      <c r="V1213" s="229"/>
      <c r="W1213" s="229"/>
      <c r="Y1213" s="223" t="str">
        <f t="shared" si="39"/>
        <v/>
      </c>
    </row>
    <row r="1214" spans="1:25" s="223" customFormat="1" ht="20.25">
      <c r="A1214" s="291"/>
      <c r="B1214" s="292" t="str">
        <f>IF(LEN(A1214)=0,"",INDEX('Smelter Reference List'!$A:$A,MATCH($A1214,'Smelter Reference List'!$E:$E,0)))</f>
        <v/>
      </c>
      <c r="C1214" s="298" t="str">
        <f>IF(LEN(A1214)=0,"",INDEX('Smelter Reference List'!$C:$C,MATCH($A1214,'Smelter Reference List'!$E:$E,0)))</f>
        <v/>
      </c>
      <c r="D1214" s="292" t="str">
        <f ca="1">IF(ISERROR($S1214),"",OFFSET('Smelter Reference List'!$C$4,$S1214-4,0)&amp;"")</f>
        <v/>
      </c>
      <c r="E1214" s="292" t="str">
        <f ca="1">IF(ISERROR($S1214),"",OFFSET('Smelter Reference List'!$D$4,$S1214-4,0)&amp;"")</f>
        <v/>
      </c>
      <c r="F1214" s="292" t="str">
        <f ca="1">IF(ISERROR($S1214),"",OFFSET('Smelter Reference List'!$E$4,$S1214-4,0))</f>
        <v/>
      </c>
      <c r="G1214" s="292" t="str">
        <f ca="1">IF(C1214=$U$4,"Enter smelter details", IF(ISERROR($S1214),"",OFFSET('Smelter Reference List'!$F$4,$S1214-4,0)))</f>
        <v/>
      </c>
      <c r="H1214" s="293" t="str">
        <f ca="1">IF(ISERROR($S1214),"",OFFSET('Smelter Reference List'!$G$4,$S1214-4,0))</f>
        <v/>
      </c>
      <c r="I1214" s="294" t="str">
        <f ca="1">IF(ISERROR($S1214),"",OFFSET('Smelter Reference List'!$H$4,$S1214-4,0))</f>
        <v/>
      </c>
      <c r="J1214" s="294" t="str">
        <f ca="1">IF(ISERROR($S1214),"",OFFSET('Smelter Reference List'!$I$4,$S1214-4,0))</f>
        <v/>
      </c>
      <c r="K1214" s="295"/>
      <c r="L1214" s="295"/>
      <c r="M1214" s="295"/>
      <c r="N1214" s="295"/>
      <c r="O1214" s="295"/>
      <c r="P1214" s="295"/>
      <c r="Q1214" s="296"/>
      <c r="R1214" s="227"/>
      <c r="S1214" s="228" t="e">
        <f>IF(C1214="",NA(),MATCH($B1214&amp;$C1214,'Smelter Reference List'!$J:$J,0))</f>
        <v>#N/A</v>
      </c>
      <c r="T1214" s="229"/>
      <c r="U1214" s="229">
        <f t="shared" ca="1" si="38"/>
        <v>0</v>
      </c>
      <c r="V1214" s="229"/>
      <c r="W1214" s="229"/>
      <c r="Y1214" s="223" t="str">
        <f t="shared" si="39"/>
        <v/>
      </c>
    </row>
    <row r="1215" spans="1:25" s="223" customFormat="1" ht="20.25">
      <c r="A1215" s="291"/>
      <c r="B1215" s="292" t="str">
        <f>IF(LEN(A1215)=0,"",INDEX('Smelter Reference List'!$A:$A,MATCH($A1215,'Smelter Reference List'!$E:$E,0)))</f>
        <v/>
      </c>
      <c r="C1215" s="298" t="str">
        <f>IF(LEN(A1215)=0,"",INDEX('Smelter Reference List'!$C:$C,MATCH($A1215,'Smelter Reference List'!$E:$E,0)))</f>
        <v/>
      </c>
      <c r="D1215" s="292" t="str">
        <f ca="1">IF(ISERROR($S1215),"",OFFSET('Smelter Reference List'!$C$4,$S1215-4,0)&amp;"")</f>
        <v/>
      </c>
      <c r="E1215" s="292" t="str">
        <f ca="1">IF(ISERROR($S1215),"",OFFSET('Smelter Reference List'!$D$4,$S1215-4,0)&amp;"")</f>
        <v/>
      </c>
      <c r="F1215" s="292" t="str">
        <f ca="1">IF(ISERROR($S1215),"",OFFSET('Smelter Reference List'!$E$4,$S1215-4,0))</f>
        <v/>
      </c>
      <c r="G1215" s="292" t="str">
        <f ca="1">IF(C1215=$U$4,"Enter smelter details", IF(ISERROR($S1215),"",OFFSET('Smelter Reference List'!$F$4,$S1215-4,0)))</f>
        <v/>
      </c>
      <c r="H1215" s="293" t="str">
        <f ca="1">IF(ISERROR($S1215),"",OFFSET('Smelter Reference List'!$G$4,$S1215-4,0))</f>
        <v/>
      </c>
      <c r="I1215" s="294" t="str">
        <f ca="1">IF(ISERROR($S1215),"",OFFSET('Smelter Reference List'!$H$4,$S1215-4,0))</f>
        <v/>
      </c>
      <c r="J1215" s="294" t="str">
        <f ca="1">IF(ISERROR($S1215),"",OFFSET('Smelter Reference List'!$I$4,$S1215-4,0))</f>
        <v/>
      </c>
      <c r="K1215" s="295"/>
      <c r="L1215" s="295"/>
      <c r="M1215" s="295"/>
      <c r="N1215" s="295"/>
      <c r="O1215" s="295"/>
      <c r="P1215" s="295"/>
      <c r="Q1215" s="296"/>
      <c r="R1215" s="227"/>
      <c r="S1215" s="228" t="e">
        <f>IF(C1215="",NA(),MATCH($B1215&amp;$C1215,'Smelter Reference List'!$J:$J,0))</f>
        <v>#N/A</v>
      </c>
      <c r="T1215" s="229"/>
      <c r="U1215" s="229">
        <f t="shared" ca="1" si="38"/>
        <v>0</v>
      </c>
      <c r="V1215" s="229"/>
      <c r="W1215" s="229"/>
      <c r="Y1215" s="223" t="str">
        <f t="shared" si="39"/>
        <v/>
      </c>
    </row>
    <row r="1216" spans="1:25" s="223" customFormat="1" ht="20.25">
      <c r="A1216" s="291"/>
      <c r="B1216" s="292" t="str">
        <f>IF(LEN(A1216)=0,"",INDEX('Smelter Reference List'!$A:$A,MATCH($A1216,'Smelter Reference List'!$E:$E,0)))</f>
        <v/>
      </c>
      <c r="C1216" s="298" t="str">
        <f>IF(LEN(A1216)=0,"",INDEX('Smelter Reference List'!$C:$C,MATCH($A1216,'Smelter Reference List'!$E:$E,0)))</f>
        <v/>
      </c>
      <c r="D1216" s="292" t="str">
        <f ca="1">IF(ISERROR($S1216),"",OFFSET('Smelter Reference List'!$C$4,$S1216-4,0)&amp;"")</f>
        <v/>
      </c>
      <c r="E1216" s="292" t="str">
        <f ca="1">IF(ISERROR($S1216),"",OFFSET('Smelter Reference List'!$D$4,$S1216-4,0)&amp;"")</f>
        <v/>
      </c>
      <c r="F1216" s="292" t="str">
        <f ca="1">IF(ISERROR($S1216),"",OFFSET('Smelter Reference List'!$E$4,$S1216-4,0))</f>
        <v/>
      </c>
      <c r="G1216" s="292" t="str">
        <f ca="1">IF(C1216=$U$4,"Enter smelter details", IF(ISERROR($S1216),"",OFFSET('Smelter Reference List'!$F$4,$S1216-4,0)))</f>
        <v/>
      </c>
      <c r="H1216" s="293" t="str">
        <f ca="1">IF(ISERROR($S1216),"",OFFSET('Smelter Reference List'!$G$4,$S1216-4,0))</f>
        <v/>
      </c>
      <c r="I1216" s="294" t="str">
        <f ca="1">IF(ISERROR($S1216),"",OFFSET('Smelter Reference List'!$H$4,$S1216-4,0))</f>
        <v/>
      </c>
      <c r="J1216" s="294" t="str">
        <f ca="1">IF(ISERROR($S1216),"",OFFSET('Smelter Reference List'!$I$4,$S1216-4,0))</f>
        <v/>
      </c>
      <c r="K1216" s="295"/>
      <c r="L1216" s="295"/>
      <c r="M1216" s="295"/>
      <c r="N1216" s="295"/>
      <c r="O1216" s="295"/>
      <c r="P1216" s="295"/>
      <c r="Q1216" s="296"/>
      <c r="R1216" s="227"/>
      <c r="S1216" s="228" t="e">
        <f>IF(C1216="",NA(),MATCH($B1216&amp;$C1216,'Smelter Reference List'!$J:$J,0))</f>
        <v>#N/A</v>
      </c>
      <c r="T1216" s="229"/>
      <c r="U1216" s="229">
        <f t="shared" ca="1" si="38"/>
        <v>0</v>
      </c>
      <c r="V1216" s="229"/>
      <c r="W1216" s="229"/>
      <c r="Y1216" s="223" t="str">
        <f t="shared" si="39"/>
        <v/>
      </c>
    </row>
    <row r="1217" spans="1:25" s="223" customFormat="1" ht="20.25">
      <c r="A1217" s="291"/>
      <c r="B1217" s="292" t="str">
        <f>IF(LEN(A1217)=0,"",INDEX('Smelter Reference List'!$A:$A,MATCH($A1217,'Smelter Reference List'!$E:$E,0)))</f>
        <v/>
      </c>
      <c r="C1217" s="298" t="str">
        <f>IF(LEN(A1217)=0,"",INDEX('Smelter Reference List'!$C:$C,MATCH($A1217,'Smelter Reference List'!$E:$E,0)))</f>
        <v/>
      </c>
      <c r="D1217" s="292" t="str">
        <f ca="1">IF(ISERROR($S1217),"",OFFSET('Smelter Reference List'!$C$4,$S1217-4,0)&amp;"")</f>
        <v/>
      </c>
      <c r="E1217" s="292" t="str">
        <f ca="1">IF(ISERROR($S1217),"",OFFSET('Smelter Reference List'!$D$4,$S1217-4,0)&amp;"")</f>
        <v/>
      </c>
      <c r="F1217" s="292" t="str">
        <f ca="1">IF(ISERROR($S1217),"",OFFSET('Smelter Reference List'!$E$4,$S1217-4,0))</f>
        <v/>
      </c>
      <c r="G1217" s="292" t="str">
        <f ca="1">IF(C1217=$U$4,"Enter smelter details", IF(ISERROR($S1217),"",OFFSET('Smelter Reference List'!$F$4,$S1217-4,0)))</f>
        <v/>
      </c>
      <c r="H1217" s="293" t="str">
        <f ca="1">IF(ISERROR($S1217),"",OFFSET('Smelter Reference List'!$G$4,$S1217-4,0))</f>
        <v/>
      </c>
      <c r="I1217" s="294" t="str">
        <f ca="1">IF(ISERROR($S1217),"",OFFSET('Smelter Reference List'!$H$4,$S1217-4,0))</f>
        <v/>
      </c>
      <c r="J1217" s="294" t="str">
        <f ca="1">IF(ISERROR($S1217),"",OFFSET('Smelter Reference List'!$I$4,$S1217-4,0))</f>
        <v/>
      </c>
      <c r="K1217" s="295"/>
      <c r="L1217" s="295"/>
      <c r="M1217" s="295"/>
      <c r="N1217" s="295"/>
      <c r="O1217" s="295"/>
      <c r="P1217" s="295"/>
      <c r="Q1217" s="296"/>
      <c r="R1217" s="227"/>
      <c r="S1217" s="228" t="e">
        <f>IF(C1217="",NA(),MATCH($B1217&amp;$C1217,'Smelter Reference List'!$J:$J,0))</f>
        <v>#N/A</v>
      </c>
      <c r="T1217" s="229"/>
      <c r="U1217" s="229">
        <f t="shared" ca="1" si="38"/>
        <v>0</v>
      </c>
      <c r="V1217" s="229"/>
      <c r="W1217" s="229"/>
      <c r="Y1217" s="223" t="str">
        <f t="shared" si="39"/>
        <v/>
      </c>
    </row>
    <row r="1218" spans="1:25" s="223" customFormat="1" ht="20.25">
      <c r="A1218" s="291"/>
      <c r="B1218" s="292" t="str">
        <f>IF(LEN(A1218)=0,"",INDEX('Smelter Reference List'!$A:$A,MATCH($A1218,'Smelter Reference List'!$E:$E,0)))</f>
        <v/>
      </c>
      <c r="C1218" s="298" t="str">
        <f>IF(LEN(A1218)=0,"",INDEX('Smelter Reference List'!$C:$C,MATCH($A1218,'Smelter Reference List'!$E:$E,0)))</f>
        <v/>
      </c>
      <c r="D1218" s="292" t="str">
        <f ca="1">IF(ISERROR($S1218),"",OFFSET('Smelter Reference List'!$C$4,$S1218-4,0)&amp;"")</f>
        <v/>
      </c>
      <c r="E1218" s="292" t="str">
        <f ca="1">IF(ISERROR($S1218),"",OFFSET('Smelter Reference List'!$D$4,$S1218-4,0)&amp;"")</f>
        <v/>
      </c>
      <c r="F1218" s="292" t="str">
        <f ca="1">IF(ISERROR($S1218),"",OFFSET('Smelter Reference List'!$E$4,$S1218-4,0))</f>
        <v/>
      </c>
      <c r="G1218" s="292" t="str">
        <f ca="1">IF(C1218=$U$4,"Enter smelter details", IF(ISERROR($S1218),"",OFFSET('Smelter Reference List'!$F$4,$S1218-4,0)))</f>
        <v/>
      </c>
      <c r="H1218" s="293" t="str">
        <f ca="1">IF(ISERROR($S1218),"",OFFSET('Smelter Reference List'!$G$4,$S1218-4,0))</f>
        <v/>
      </c>
      <c r="I1218" s="294" t="str">
        <f ca="1">IF(ISERROR($S1218),"",OFFSET('Smelter Reference List'!$H$4,$S1218-4,0))</f>
        <v/>
      </c>
      <c r="J1218" s="294" t="str">
        <f ca="1">IF(ISERROR($S1218),"",OFFSET('Smelter Reference List'!$I$4,$S1218-4,0))</f>
        <v/>
      </c>
      <c r="K1218" s="295"/>
      <c r="L1218" s="295"/>
      <c r="M1218" s="295"/>
      <c r="N1218" s="295"/>
      <c r="O1218" s="295"/>
      <c r="P1218" s="295"/>
      <c r="Q1218" s="296"/>
      <c r="R1218" s="227"/>
      <c r="S1218" s="228" t="e">
        <f>IF(C1218="",NA(),MATCH($B1218&amp;$C1218,'Smelter Reference List'!$J:$J,0))</f>
        <v>#N/A</v>
      </c>
      <c r="T1218" s="229"/>
      <c r="U1218" s="229">
        <f t="shared" ca="1" si="38"/>
        <v>0</v>
      </c>
      <c r="V1218" s="229"/>
      <c r="W1218" s="229"/>
      <c r="Y1218" s="223" t="str">
        <f t="shared" si="39"/>
        <v/>
      </c>
    </row>
    <row r="1219" spans="1:25" s="223" customFormat="1" ht="20.25">
      <c r="A1219" s="291"/>
      <c r="B1219" s="292" t="str">
        <f>IF(LEN(A1219)=0,"",INDEX('Smelter Reference List'!$A:$A,MATCH($A1219,'Smelter Reference List'!$E:$E,0)))</f>
        <v/>
      </c>
      <c r="C1219" s="298" t="str">
        <f>IF(LEN(A1219)=0,"",INDEX('Smelter Reference List'!$C:$C,MATCH($A1219,'Smelter Reference List'!$E:$E,0)))</f>
        <v/>
      </c>
      <c r="D1219" s="292" t="str">
        <f ca="1">IF(ISERROR($S1219),"",OFFSET('Smelter Reference List'!$C$4,$S1219-4,0)&amp;"")</f>
        <v/>
      </c>
      <c r="E1219" s="292" t="str">
        <f ca="1">IF(ISERROR($S1219),"",OFFSET('Smelter Reference List'!$D$4,$S1219-4,0)&amp;"")</f>
        <v/>
      </c>
      <c r="F1219" s="292" t="str">
        <f ca="1">IF(ISERROR($S1219),"",OFFSET('Smelter Reference List'!$E$4,$S1219-4,0))</f>
        <v/>
      </c>
      <c r="G1219" s="292" t="str">
        <f ca="1">IF(C1219=$U$4,"Enter smelter details", IF(ISERROR($S1219),"",OFFSET('Smelter Reference List'!$F$4,$S1219-4,0)))</f>
        <v/>
      </c>
      <c r="H1219" s="293" t="str">
        <f ca="1">IF(ISERROR($S1219),"",OFFSET('Smelter Reference List'!$G$4,$S1219-4,0))</f>
        <v/>
      </c>
      <c r="I1219" s="294" t="str">
        <f ca="1">IF(ISERROR($S1219),"",OFFSET('Smelter Reference List'!$H$4,$S1219-4,0))</f>
        <v/>
      </c>
      <c r="J1219" s="294" t="str">
        <f ca="1">IF(ISERROR($S1219),"",OFFSET('Smelter Reference List'!$I$4,$S1219-4,0))</f>
        <v/>
      </c>
      <c r="K1219" s="295"/>
      <c r="L1219" s="295"/>
      <c r="M1219" s="295"/>
      <c r="N1219" s="295"/>
      <c r="O1219" s="295"/>
      <c r="P1219" s="295"/>
      <c r="Q1219" s="296"/>
      <c r="R1219" s="227"/>
      <c r="S1219" s="228" t="e">
        <f>IF(C1219="",NA(),MATCH($B1219&amp;$C1219,'Smelter Reference List'!$J:$J,0))</f>
        <v>#N/A</v>
      </c>
      <c r="T1219" s="229"/>
      <c r="U1219" s="229">
        <f t="shared" ca="1" si="38"/>
        <v>0</v>
      </c>
      <c r="V1219" s="229"/>
      <c r="W1219" s="229"/>
      <c r="Y1219" s="223" t="str">
        <f t="shared" si="39"/>
        <v/>
      </c>
    </row>
    <row r="1220" spans="1:25" s="223" customFormat="1" ht="20.25">
      <c r="A1220" s="291"/>
      <c r="B1220" s="292" t="str">
        <f>IF(LEN(A1220)=0,"",INDEX('Smelter Reference List'!$A:$A,MATCH($A1220,'Smelter Reference List'!$E:$E,0)))</f>
        <v/>
      </c>
      <c r="C1220" s="298" t="str">
        <f>IF(LEN(A1220)=0,"",INDEX('Smelter Reference List'!$C:$C,MATCH($A1220,'Smelter Reference List'!$E:$E,0)))</f>
        <v/>
      </c>
      <c r="D1220" s="292" t="str">
        <f ca="1">IF(ISERROR($S1220),"",OFFSET('Smelter Reference List'!$C$4,$S1220-4,0)&amp;"")</f>
        <v/>
      </c>
      <c r="E1220" s="292" t="str">
        <f ca="1">IF(ISERROR($S1220),"",OFFSET('Smelter Reference List'!$D$4,$S1220-4,0)&amp;"")</f>
        <v/>
      </c>
      <c r="F1220" s="292" t="str">
        <f ca="1">IF(ISERROR($S1220),"",OFFSET('Smelter Reference List'!$E$4,$S1220-4,0))</f>
        <v/>
      </c>
      <c r="G1220" s="292" t="str">
        <f ca="1">IF(C1220=$U$4,"Enter smelter details", IF(ISERROR($S1220),"",OFFSET('Smelter Reference List'!$F$4,$S1220-4,0)))</f>
        <v/>
      </c>
      <c r="H1220" s="293" t="str">
        <f ca="1">IF(ISERROR($S1220),"",OFFSET('Smelter Reference List'!$G$4,$S1220-4,0))</f>
        <v/>
      </c>
      <c r="I1220" s="294" t="str">
        <f ca="1">IF(ISERROR($S1220),"",OFFSET('Smelter Reference List'!$H$4,$S1220-4,0))</f>
        <v/>
      </c>
      <c r="J1220" s="294" t="str">
        <f ca="1">IF(ISERROR($S1220),"",OFFSET('Smelter Reference List'!$I$4,$S1220-4,0))</f>
        <v/>
      </c>
      <c r="K1220" s="295"/>
      <c r="L1220" s="295"/>
      <c r="M1220" s="295"/>
      <c r="N1220" s="295"/>
      <c r="O1220" s="295"/>
      <c r="P1220" s="295"/>
      <c r="Q1220" s="296"/>
      <c r="R1220" s="227"/>
      <c r="S1220" s="228" t="e">
        <f>IF(C1220="",NA(),MATCH($B1220&amp;$C1220,'Smelter Reference List'!$J:$J,0))</f>
        <v>#N/A</v>
      </c>
      <c r="T1220" s="229"/>
      <c r="U1220" s="229">
        <f t="shared" ca="1" si="38"/>
        <v>0</v>
      </c>
      <c r="V1220" s="229"/>
      <c r="W1220" s="229"/>
      <c r="Y1220" s="223" t="str">
        <f t="shared" si="39"/>
        <v/>
      </c>
    </row>
    <row r="1221" spans="1:25" s="223" customFormat="1" ht="20.25">
      <c r="A1221" s="291"/>
      <c r="B1221" s="292" t="str">
        <f>IF(LEN(A1221)=0,"",INDEX('Smelter Reference List'!$A:$A,MATCH($A1221,'Smelter Reference List'!$E:$E,0)))</f>
        <v/>
      </c>
      <c r="C1221" s="298" t="str">
        <f>IF(LEN(A1221)=0,"",INDEX('Smelter Reference List'!$C:$C,MATCH($A1221,'Smelter Reference List'!$E:$E,0)))</f>
        <v/>
      </c>
      <c r="D1221" s="292" t="str">
        <f ca="1">IF(ISERROR($S1221),"",OFFSET('Smelter Reference List'!$C$4,$S1221-4,0)&amp;"")</f>
        <v/>
      </c>
      <c r="E1221" s="292" t="str">
        <f ca="1">IF(ISERROR($S1221),"",OFFSET('Smelter Reference List'!$D$4,$S1221-4,0)&amp;"")</f>
        <v/>
      </c>
      <c r="F1221" s="292" t="str">
        <f ca="1">IF(ISERROR($S1221),"",OFFSET('Smelter Reference List'!$E$4,$S1221-4,0))</f>
        <v/>
      </c>
      <c r="G1221" s="292" t="str">
        <f ca="1">IF(C1221=$U$4,"Enter smelter details", IF(ISERROR($S1221),"",OFFSET('Smelter Reference List'!$F$4,$S1221-4,0)))</f>
        <v/>
      </c>
      <c r="H1221" s="293" t="str">
        <f ca="1">IF(ISERROR($S1221),"",OFFSET('Smelter Reference List'!$G$4,$S1221-4,0))</f>
        <v/>
      </c>
      <c r="I1221" s="294" t="str">
        <f ca="1">IF(ISERROR($S1221),"",OFFSET('Smelter Reference List'!$H$4,$S1221-4,0))</f>
        <v/>
      </c>
      <c r="J1221" s="294" t="str">
        <f ca="1">IF(ISERROR($S1221),"",OFFSET('Smelter Reference List'!$I$4,$S1221-4,0))</f>
        <v/>
      </c>
      <c r="K1221" s="295"/>
      <c r="L1221" s="295"/>
      <c r="M1221" s="295"/>
      <c r="N1221" s="295"/>
      <c r="O1221" s="295"/>
      <c r="P1221" s="295"/>
      <c r="Q1221" s="296"/>
      <c r="R1221" s="227"/>
      <c r="S1221" s="228" t="e">
        <f>IF(C1221="",NA(),MATCH($B1221&amp;$C1221,'Smelter Reference List'!$J:$J,0))</f>
        <v>#N/A</v>
      </c>
      <c r="T1221" s="229"/>
      <c r="U1221" s="229">
        <f t="shared" ref="U1221:U1284" ca="1" si="40">IF(AND(C1221="Smelter not listed",OR(LEN(D1221)=0,LEN(E1221)=0)),1,0)</f>
        <v>0</v>
      </c>
      <c r="V1221" s="229"/>
      <c r="W1221" s="229"/>
      <c r="Y1221" s="223" t="str">
        <f t="shared" ref="Y1221:Y1284" si="41">B1221&amp;C1221</f>
        <v/>
      </c>
    </row>
    <row r="1222" spans="1:25" s="223" customFormat="1" ht="20.25">
      <c r="A1222" s="291"/>
      <c r="B1222" s="292" t="str">
        <f>IF(LEN(A1222)=0,"",INDEX('Smelter Reference List'!$A:$A,MATCH($A1222,'Smelter Reference List'!$E:$E,0)))</f>
        <v/>
      </c>
      <c r="C1222" s="298" t="str">
        <f>IF(LEN(A1222)=0,"",INDEX('Smelter Reference List'!$C:$C,MATCH($A1222,'Smelter Reference List'!$E:$E,0)))</f>
        <v/>
      </c>
      <c r="D1222" s="292" t="str">
        <f ca="1">IF(ISERROR($S1222),"",OFFSET('Smelter Reference List'!$C$4,$S1222-4,0)&amp;"")</f>
        <v/>
      </c>
      <c r="E1222" s="292" t="str">
        <f ca="1">IF(ISERROR($S1222),"",OFFSET('Smelter Reference List'!$D$4,$S1222-4,0)&amp;"")</f>
        <v/>
      </c>
      <c r="F1222" s="292" t="str">
        <f ca="1">IF(ISERROR($S1222),"",OFFSET('Smelter Reference List'!$E$4,$S1222-4,0))</f>
        <v/>
      </c>
      <c r="G1222" s="292" t="str">
        <f ca="1">IF(C1222=$U$4,"Enter smelter details", IF(ISERROR($S1222),"",OFFSET('Smelter Reference List'!$F$4,$S1222-4,0)))</f>
        <v/>
      </c>
      <c r="H1222" s="293" t="str">
        <f ca="1">IF(ISERROR($S1222),"",OFFSET('Smelter Reference List'!$G$4,$S1222-4,0))</f>
        <v/>
      </c>
      <c r="I1222" s="294" t="str">
        <f ca="1">IF(ISERROR($S1222),"",OFFSET('Smelter Reference List'!$H$4,$S1222-4,0))</f>
        <v/>
      </c>
      <c r="J1222" s="294" t="str">
        <f ca="1">IF(ISERROR($S1222),"",OFFSET('Smelter Reference List'!$I$4,$S1222-4,0))</f>
        <v/>
      </c>
      <c r="K1222" s="295"/>
      <c r="L1222" s="295"/>
      <c r="M1222" s="295"/>
      <c r="N1222" s="295"/>
      <c r="O1222" s="295"/>
      <c r="P1222" s="295"/>
      <c r="Q1222" s="296"/>
      <c r="R1222" s="227"/>
      <c r="S1222" s="228" t="e">
        <f>IF(C1222="",NA(),MATCH($B1222&amp;$C1222,'Smelter Reference List'!$J:$J,0))</f>
        <v>#N/A</v>
      </c>
      <c r="T1222" s="229"/>
      <c r="U1222" s="229">
        <f t="shared" ca="1" si="40"/>
        <v>0</v>
      </c>
      <c r="V1222" s="229"/>
      <c r="W1222" s="229"/>
      <c r="Y1222" s="223" t="str">
        <f t="shared" si="41"/>
        <v/>
      </c>
    </row>
    <row r="1223" spans="1:25" s="223" customFormat="1" ht="20.25">
      <c r="A1223" s="291"/>
      <c r="B1223" s="292" t="str">
        <f>IF(LEN(A1223)=0,"",INDEX('Smelter Reference List'!$A:$A,MATCH($A1223,'Smelter Reference List'!$E:$E,0)))</f>
        <v/>
      </c>
      <c r="C1223" s="298" t="str">
        <f>IF(LEN(A1223)=0,"",INDEX('Smelter Reference List'!$C:$C,MATCH($A1223,'Smelter Reference List'!$E:$E,0)))</f>
        <v/>
      </c>
      <c r="D1223" s="292" t="str">
        <f ca="1">IF(ISERROR($S1223),"",OFFSET('Smelter Reference List'!$C$4,$S1223-4,0)&amp;"")</f>
        <v/>
      </c>
      <c r="E1223" s="292" t="str">
        <f ca="1">IF(ISERROR($S1223),"",OFFSET('Smelter Reference List'!$D$4,$S1223-4,0)&amp;"")</f>
        <v/>
      </c>
      <c r="F1223" s="292" t="str">
        <f ca="1">IF(ISERROR($S1223),"",OFFSET('Smelter Reference List'!$E$4,$S1223-4,0))</f>
        <v/>
      </c>
      <c r="G1223" s="292" t="str">
        <f ca="1">IF(C1223=$U$4,"Enter smelter details", IF(ISERROR($S1223),"",OFFSET('Smelter Reference List'!$F$4,$S1223-4,0)))</f>
        <v/>
      </c>
      <c r="H1223" s="293" t="str">
        <f ca="1">IF(ISERROR($S1223),"",OFFSET('Smelter Reference List'!$G$4,$S1223-4,0))</f>
        <v/>
      </c>
      <c r="I1223" s="294" t="str">
        <f ca="1">IF(ISERROR($S1223),"",OFFSET('Smelter Reference List'!$H$4,$S1223-4,0))</f>
        <v/>
      </c>
      <c r="J1223" s="294" t="str">
        <f ca="1">IF(ISERROR($S1223),"",OFFSET('Smelter Reference List'!$I$4,$S1223-4,0))</f>
        <v/>
      </c>
      <c r="K1223" s="295"/>
      <c r="L1223" s="295"/>
      <c r="M1223" s="295"/>
      <c r="N1223" s="295"/>
      <c r="O1223" s="295"/>
      <c r="P1223" s="295"/>
      <c r="Q1223" s="296"/>
      <c r="R1223" s="227"/>
      <c r="S1223" s="228" t="e">
        <f>IF(C1223="",NA(),MATCH($B1223&amp;$C1223,'Smelter Reference List'!$J:$J,0))</f>
        <v>#N/A</v>
      </c>
      <c r="T1223" s="229"/>
      <c r="U1223" s="229">
        <f t="shared" ca="1" si="40"/>
        <v>0</v>
      </c>
      <c r="V1223" s="229"/>
      <c r="W1223" s="229"/>
      <c r="Y1223" s="223" t="str">
        <f t="shared" si="41"/>
        <v/>
      </c>
    </row>
    <row r="1224" spans="1:25" s="223" customFormat="1" ht="20.25">
      <c r="A1224" s="291"/>
      <c r="B1224" s="292" t="str">
        <f>IF(LEN(A1224)=0,"",INDEX('Smelter Reference List'!$A:$A,MATCH($A1224,'Smelter Reference List'!$E:$E,0)))</f>
        <v/>
      </c>
      <c r="C1224" s="298" t="str">
        <f>IF(LEN(A1224)=0,"",INDEX('Smelter Reference List'!$C:$C,MATCH($A1224,'Smelter Reference List'!$E:$E,0)))</f>
        <v/>
      </c>
      <c r="D1224" s="292" t="str">
        <f ca="1">IF(ISERROR($S1224),"",OFFSET('Smelter Reference List'!$C$4,$S1224-4,0)&amp;"")</f>
        <v/>
      </c>
      <c r="E1224" s="292" t="str">
        <f ca="1">IF(ISERROR($S1224),"",OFFSET('Smelter Reference List'!$D$4,$S1224-4,0)&amp;"")</f>
        <v/>
      </c>
      <c r="F1224" s="292" t="str">
        <f ca="1">IF(ISERROR($S1224),"",OFFSET('Smelter Reference List'!$E$4,$S1224-4,0))</f>
        <v/>
      </c>
      <c r="G1224" s="292" t="str">
        <f ca="1">IF(C1224=$U$4,"Enter smelter details", IF(ISERROR($S1224),"",OFFSET('Smelter Reference List'!$F$4,$S1224-4,0)))</f>
        <v/>
      </c>
      <c r="H1224" s="293" t="str">
        <f ca="1">IF(ISERROR($S1224),"",OFFSET('Smelter Reference List'!$G$4,$S1224-4,0))</f>
        <v/>
      </c>
      <c r="I1224" s="294" t="str">
        <f ca="1">IF(ISERROR($S1224),"",OFFSET('Smelter Reference List'!$H$4,$S1224-4,0))</f>
        <v/>
      </c>
      <c r="J1224" s="294" t="str">
        <f ca="1">IF(ISERROR($S1224),"",OFFSET('Smelter Reference List'!$I$4,$S1224-4,0))</f>
        <v/>
      </c>
      <c r="K1224" s="295"/>
      <c r="L1224" s="295"/>
      <c r="M1224" s="295"/>
      <c r="N1224" s="295"/>
      <c r="O1224" s="295"/>
      <c r="P1224" s="295"/>
      <c r="Q1224" s="296"/>
      <c r="R1224" s="227"/>
      <c r="S1224" s="228" t="e">
        <f>IF(C1224="",NA(),MATCH($B1224&amp;$C1224,'Smelter Reference List'!$J:$J,0))</f>
        <v>#N/A</v>
      </c>
      <c r="T1224" s="229"/>
      <c r="U1224" s="229">
        <f t="shared" ca="1" si="40"/>
        <v>0</v>
      </c>
      <c r="V1224" s="229"/>
      <c r="W1224" s="229"/>
      <c r="Y1224" s="223" t="str">
        <f t="shared" si="41"/>
        <v/>
      </c>
    </row>
    <row r="1225" spans="1:25" s="223" customFormat="1" ht="20.25">
      <c r="A1225" s="291"/>
      <c r="B1225" s="292" t="str">
        <f>IF(LEN(A1225)=0,"",INDEX('Smelter Reference List'!$A:$A,MATCH($A1225,'Smelter Reference List'!$E:$E,0)))</f>
        <v/>
      </c>
      <c r="C1225" s="298" t="str">
        <f>IF(LEN(A1225)=0,"",INDEX('Smelter Reference List'!$C:$C,MATCH($A1225,'Smelter Reference List'!$E:$E,0)))</f>
        <v/>
      </c>
      <c r="D1225" s="292" t="str">
        <f ca="1">IF(ISERROR($S1225),"",OFFSET('Smelter Reference List'!$C$4,$S1225-4,0)&amp;"")</f>
        <v/>
      </c>
      <c r="E1225" s="292" t="str">
        <f ca="1">IF(ISERROR($S1225),"",OFFSET('Smelter Reference List'!$D$4,$S1225-4,0)&amp;"")</f>
        <v/>
      </c>
      <c r="F1225" s="292" t="str">
        <f ca="1">IF(ISERROR($S1225),"",OFFSET('Smelter Reference List'!$E$4,$S1225-4,0))</f>
        <v/>
      </c>
      <c r="G1225" s="292" t="str">
        <f ca="1">IF(C1225=$U$4,"Enter smelter details", IF(ISERROR($S1225),"",OFFSET('Smelter Reference List'!$F$4,$S1225-4,0)))</f>
        <v/>
      </c>
      <c r="H1225" s="293" t="str">
        <f ca="1">IF(ISERROR($S1225),"",OFFSET('Smelter Reference List'!$G$4,$S1225-4,0))</f>
        <v/>
      </c>
      <c r="I1225" s="294" t="str">
        <f ca="1">IF(ISERROR($S1225),"",OFFSET('Smelter Reference List'!$H$4,$S1225-4,0))</f>
        <v/>
      </c>
      <c r="J1225" s="294" t="str">
        <f ca="1">IF(ISERROR($S1225),"",OFFSET('Smelter Reference List'!$I$4,$S1225-4,0))</f>
        <v/>
      </c>
      <c r="K1225" s="295"/>
      <c r="L1225" s="295"/>
      <c r="M1225" s="295"/>
      <c r="N1225" s="295"/>
      <c r="O1225" s="295"/>
      <c r="P1225" s="295"/>
      <c r="Q1225" s="296"/>
      <c r="R1225" s="227"/>
      <c r="S1225" s="228" t="e">
        <f>IF(C1225="",NA(),MATCH($B1225&amp;$C1225,'Smelter Reference List'!$J:$J,0))</f>
        <v>#N/A</v>
      </c>
      <c r="T1225" s="229"/>
      <c r="U1225" s="229">
        <f t="shared" ca="1" si="40"/>
        <v>0</v>
      </c>
      <c r="V1225" s="229"/>
      <c r="W1225" s="229"/>
      <c r="Y1225" s="223" t="str">
        <f t="shared" si="41"/>
        <v/>
      </c>
    </row>
    <row r="1226" spans="1:25" s="223" customFormat="1" ht="20.25">
      <c r="A1226" s="291"/>
      <c r="B1226" s="292" t="str">
        <f>IF(LEN(A1226)=0,"",INDEX('Smelter Reference List'!$A:$A,MATCH($A1226,'Smelter Reference List'!$E:$E,0)))</f>
        <v/>
      </c>
      <c r="C1226" s="298" t="str">
        <f>IF(LEN(A1226)=0,"",INDEX('Smelter Reference List'!$C:$C,MATCH($A1226,'Smelter Reference List'!$E:$E,0)))</f>
        <v/>
      </c>
      <c r="D1226" s="292" t="str">
        <f ca="1">IF(ISERROR($S1226),"",OFFSET('Smelter Reference List'!$C$4,$S1226-4,0)&amp;"")</f>
        <v/>
      </c>
      <c r="E1226" s="292" t="str">
        <f ca="1">IF(ISERROR($S1226),"",OFFSET('Smelter Reference List'!$D$4,$S1226-4,0)&amp;"")</f>
        <v/>
      </c>
      <c r="F1226" s="292" t="str">
        <f ca="1">IF(ISERROR($S1226),"",OFFSET('Smelter Reference List'!$E$4,$S1226-4,0))</f>
        <v/>
      </c>
      <c r="G1226" s="292" t="str">
        <f ca="1">IF(C1226=$U$4,"Enter smelter details", IF(ISERROR($S1226),"",OFFSET('Smelter Reference List'!$F$4,$S1226-4,0)))</f>
        <v/>
      </c>
      <c r="H1226" s="293" t="str">
        <f ca="1">IF(ISERROR($S1226),"",OFFSET('Smelter Reference List'!$G$4,$S1226-4,0))</f>
        <v/>
      </c>
      <c r="I1226" s="294" t="str">
        <f ca="1">IF(ISERROR($S1226),"",OFFSET('Smelter Reference List'!$H$4,$S1226-4,0))</f>
        <v/>
      </c>
      <c r="J1226" s="294" t="str">
        <f ca="1">IF(ISERROR($S1226),"",OFFSET('Smelter Reference List'!$I$4,$S1226-4,0))</f>
        <v/>
      </c>
      <c r="K1226" s="295"/>
      <c r="L1226" s="295"/>
      <c r="M1226" s="295"/>
      <c r="N1226" s="295"/>
      <c r="O1226" s="295"/>
      <c r="P1226" s="295"/>
      <c r="Q1226" s="296"/>
      <c r="R1226" s="227"/>
      <c r="S1226" s="228" t="e">
        <f>IF(C1226="",NA(),MATCH($B1226&amp;$C1226,'Smelter Reference List'!$J:$J,0))</f>
        <v>#N/A</v>
      </c>
      <c r="T1226" s="229"/>
      <c r="U1226" s="229">
        <f t="shared" ca="1" si="40"/>
        <v>0</v>
      </c>
      <c r="V1226" s="229"/>
      <c r="W1226" s="229"/>
      <c r="Y1226" s="223" t="str">
        <f t="shared" si="41"/>
        <v/>
      </c>
    </row>
    <row r="1227" spans="1:25" s="223" customFormat="1" ht="20.25">
      <c r="A1227" s="291"/>
      <c r="B1227" s="292" t="str">
        <f>IF(LEN(A1227)=0,"",INDEX('Smelter Reference List'!$A:$A,MATCH($A1227,'Smelter Reference List'!$E:$E,0)))</f>
        <v/>
      </c>
      <c r="C1227" s="298" t="str">
        <f>IF(LEN(A1227)=0,"",INDEX('Smelter Reference List'!$C:$C,MATCH($A1227,'Smelter Reference List'!$E:$E,0)))</f>
        <v/>
      </c>
      <c r="D1227" s="292" t="str">
        <f ca="1">IF(ISERROR($S1227),"",OFFSET('Smelter Reference List'!$C$4,$S1227-4,0)&amp;"")</f>
        <v/>
      </c>
      <c r="E1227" s="292" t="str">
        <f ca="1">IF(ISERROR($S1227),"",OFFSET('Smelter Reference List'!$D$4,$S1227-4,0)&amp;"")</f>
        <v/>
      </c>
      <c r="F1227" s="292" t="str">
        <f ca="1">IF(ISERROR($S1227),"",OFFSET('Smelter Reference List'!$E$4,$S1227-4,0))</f>
        <v/>
      </c>
      <c r="G1227" s="292" t="str">
        <f ca="1">IF(C1227=$U$4,"Enter smelter details", IF(ISERROR($S1227),"",OFFSET('Smelter Reference List'!$F$4,$S1227-4,0)))</f>
        <v/>
      </c>
      <c r="H1227" s="293" t="str">
        <f ca="1">IF(ISERROR($S1227),"",OFFSET('Smelter Reference List'!$G$4,$S1227-4,0))</f>
        <v/>
      </c>
      <c r="I1227" s="294" t="str">
        <f ca="1">IF(ISERROR($S1227),"",OFFSET('Smelter Reference List'!$H$4,$S1227-4,0))</f>
        <v/>
      </c>
      <c r="J1227" s="294" t="str">
        <f ca="1">IF(ISERROR($S1227),"",OFFSET('Smelter Reference List'!$I$4,$S1227-4,0))</f>
        <v/>
      </c>
      <c r="K1227" s="295"/>
      <c r="L1227" s="295"/>
      <c r="M1227" s="295"/>
      <c r="N1227" s="295"/>
      <c r="O1227" s="295"/>
      <c r="P1227" s="295"/>
      <c r="Q1227" s="296"/>
      <c r="R1227" s="227"/>
      <c r="S1227" s="228" t="e">
        <f>IF(C1227="",NA(),MATCH($B1227&amp;$C1227,'Smelter Reference List'!$J:$J,0))</f>
        <v>#N/A</v>
      </c>
      <c r="T1227" s="229"/>
      <c r="U1227" s="229">
        <f t="shared" ca="1" si="40"/>
        <v>0</v>
      </c>
      <c r="V1227" s="229"/>
      <c r="W1227" s="229"/>
      <c r="Y1227" s="223" t="str">
        <f t="shared" si="41"/>
        <v/>
      </c>
    </row>
    <row r="1228" spans="1:25" s="223" customFormat="1" ht="20.25">
      <c r="A1228" s="291"/>
      <c r="B1228" s="292" t="str">
        <f>IF(LEN(A1228)=0,"",INDEX('Smelter Reference List'!$A:$A,MATCH($A1228,'Smelter Reference List'!$E:$E,0)))</f>
        <v/>
      </c>
      <c r="C1228" s="298" t="str">
        <f>IF(LEN(A1228)=0,"",INDEX('Smelter Reference List'!$C:$C,MATCH($A1228,'Smelter Reference List'!$E:$E,0)))</f>
        <v/>
      </c>
      <c r="D1228" s="292" t="str">
        <f ca="1">IF(ISERROR($S1228),"",OFFSET('Smelter Reference List'!$C$4,$S1228-4,0)&amp;"")</f>
        <v/>
      </c>
      <c r="E1228" s="292" t="str">
        <f ca="1">IF(ISERROR($S1228),"",OFFSET('Smelter Reference List'!$D$4,$S1228-4,0)&amp;"")</f>
        <v/>
      </c>
      <c r="F1228" s="292" t="str">
        <f ca="1">IF(ISERROR($S1228),"",OFFSET('Smelter Reference List'!$E$4,$S1228-4,0))</f>
        <v/>
      </c>
      <c r="G1228" s="292" t="str">
        <f ca="1">IF(C1228=$U$4,"Enter smelter details", IF(ISERROR($S1228),"",OFFSET('Smelter Reference List'!$F$4,$S1228-4,0)))</f>
        <v/>
      </c>
      <c r="H1228" s="293" t="str">
        <f ca="1">IF(ISERROR($S1228),"",OFFSET('Smelter Reference List'!$G$4,$S1228-4,0))</f>
        <v/>
      </c>
      <c r="I1228" s="294" t="str">
        <f ca="1">IF(ISERROR($S1228),"",OFFSET('Smelter Reference List'!$H$4,$S1228-4,0))</f>
        <v/>
      </c>
      <c r="J1228" s="294" t="str">
        <f ca="1">IF(ISERROR($S1228),"",OFFSET('Smelter Reference List'!$I$4,$S1228-4,0))</f>
        <v/>
      </c>
      <c r="K1228" s="295"/>
      <c r="L1228" s="295"/>
      <c r="M1228" s="295"/>
      <c r="N1228" s="295"/>
      <c r="O1228" s="295"/>
      <c r="P1228" s="295"/>
      <c r="Q1228" s="296"/>
      <c r="R1228" s="227"/>
      <c r="S1228" s="228" t="e">
        <f>IF(C1228="",NA(),MATCH($B1228&amp;$C1228,'Smelter Reference List'!$J:$J,0))</f>
        <v>#N/A</v>
      </c>
      <c r="T1228" s="229"/>
      <c r="U1228" s="229">
        <f t="shared" ca="1" si="40"/>
        <v>0</v>
      </c>
      <c r="V1228" s="229"/>
      <c r="W1228" s="229"/>
      <c r="Y1228" s="223" t="str">
        <f t="shared" si="41"/>
        <v/>
      </c>
    </row>
    <row r="1229" spans="1:25" s="223" customFormat="1" ht="20.25">
      <c r="A1229" s="291"/>
      <c r="B1229" s="292" t="str">
        <f>IF(LEN(A1229)=0,"",INDEX('Smelter Reference List'!$A:$A,MATCH($A1229,'Smelter Reference List'!$E:$E,0)))</f>
        <v/>
      </c>
      <c r="C1229" s="298" t="str">
        <f>IF(LEN(A1229)=0,"",INDEX('Smelter Reference List'!$C:$C,MATCH($A1229,'Smelter Reference List'!$E:$E,0)))</f>
        <v/>
      </c>
      <c r="D1229" s="292" t="str">
        <f ca="1">IF(ISERROR($S1229),"",OFFSET('Smelter Reference List'!$C$4,$S1229-4,0)&amp;"")</f>
        <v/>
      </c>
      <c r="E1229" s="292" t="str">
        <f ca="1">IF(ISERROR($S1229),"",OFFSET('Smelter Reference List'!$D$4,$S1229-4,0)&amp;"")</f>
        <v/>
      </c>
      <c r="F1229" s="292" t="str">
        <f ca="1">IF(ISERROR($S1229),"",OFFSET('Smelter Reference List'!$E$4,$S1229-4,0))</f>
        <v/>
      </c>
      <c r="G1229" s="292" t="str">
        <f ca="1">IF(C1229=$U$4,"Enter smelter details", IF(ISERROR($S1229),"",OFFSET('Smelter Reference List'!$F$4,$S1229-4,0)))</f>
        <v/>
      </c>
      <c r="H1229" s="293" t="str">
        <f ca="1">IF(ISERROR($S1229),"",OFFSET('Smelter Reference List'!$G$4,$S1229-4,0))</f>
        <v/>
      </c>
      <c r="I1229" s="294" t="str">
        <f ca="1">IF(ISERROR($S1229),"",OFFSET('Smelter Reference List'!$H$4,$S1229-4,0))</f>
        <v/>
      </c>
      <c r="J1229" s="294" t="str">
        <f ca="1">IF(ISERROR($S1229),"",OFFSET('Smelter Reference List'!$I$4,$S1229-4,0))</f>
        <v/>
      </c>
      <c r="K1229" s="295"/>
      <c r="L1229" s="295"/>
      <c r="M1229" s="295"/>
      <c r="N1229" s="295"/>
      <c r="O1229" s="295"/>
      <c r="P1229" s="295"/>
      <c r="Q1229" s="296"/>
      <c r="R1229" s="227"/>
      <c r="S1229" s="228" t="e">
        <f>IF(C1229="",NA(),MATCH($B1229&amp;$C1229,'Smelter Reference List'!$J:$J,0))</f>
        <v>#N/A</v>
      </c>
      <c r="T1229" s="229"/>
      <c r="U1229" s="229">
        <f t="shared" ca="1" si="40"/>
        <v>0</v>
      </c>
      <c r="V1229" s="229"/>
      <c r="W1229" s="229"/>
      <c r="Y1229" s="223" t="str">
        <f t="shared" si="41"/>
        <v/>
      </c>
    </row>
    <row r="1230" spans="1:25" s="223" customFormat="1" ht="20.25">
      <c r="A1230" s="291"/>
      <c r="B1230" s="292" t="str">
        <f>IF(LEN(A1230)=0,"",INDEX('Smelter Reference List'!$A:$A,MATCH($A1230,'Smelter Reference List'!$E:$E,0)))</f>
        <v/>
      </c>
      <c r="C1230" s="298" t="str">
        <f>IF(LEN(A1230)=0,"",INDEX('Smelter Reference List'!$C:$C,MATCH($A1230,'Smelter Reference List'!$E:$E,0)))</f>
        <v/>
      </c>
      <c r="D1230" s="292" t="str">
        <f ca="1">IF(ISERROR($S1230),"",OFFSET('Smelter Reference List'!$C$4,$S1230-4,0)&amp;"")</f>
        <v/>
      </c>
      <c r="E1230" s="292" t="str">
        <f ca="1">IF(ISERROR($S1230),"",OFFSET('Smelter Reference List'!$D$4,$S1230-4,0)&amp;"")</f>
        <v/>
      </c>
      <c r="F1230" s="292" t="str">
        <f ca="1">IF(ISERROR($S1230),"",OFFSET('Smelter Reference List'!$E$4,$S1230-4,0))</f>
        <v/>
      </c>
      <c r="G1230" s="292" t="str">
        <f ca="1">IF(C1230=$U$4,"Enter smelter details", IF(ISERROR($S1230),"",OFFSET('Smelter Reference List'!$F$4,$S1230-4,0)))</f>
        <v/>
      </c>
      <c r="H1230" s="293" t="str">
        <f ca="1">IF(ISERROR($S1230),"",OFFSET('Smelter Reference List'!$G$4,$S1230-4,0))</f>
        <v/>
      </c>
      <c r="I1230" s="294" t="str">
        <f ca="1">IF(ISERROR($S1230),"",OFFSET('Smelter Reference List'!$H$4,$S1230-4,0))</f>
        <v/>
      </c>
      <c r="J1230" s="294" t="str">
        <f ca="1">IF(ISERROR($S1230),"",OFFSET('Smelter Reference List'!$I$4,$S1230-4,0))</f>
        <v/>
      </c>
      <c r="K1230" s="295"/>
      <c r="L1230" s="295"/>
      <c r="M1230" s="295"/>
      <c r="N1230" s="295"/>
      <c r="O1230" s="295"/>
      <c r="P1230" s="295"/>
      <c r="Q1230" s="296"/>
      <c r="R1230" s="227"/>
      <c r="S1230" s="228" t="e">
        <f>IF(C1230="",NA(),MATCH($B1230&amp;$C1230,'Smelter Reference List'!$J:$J,0))</f>
        <v>#N/A</v>
      </c>
      <c r="T1230" s="229"/>
      <c r="U1230" s="229">
        <f t="shared" ca="1" si="40"/>
        <v>0</v>
      </c>
      <c r="V1230" s="229"/>
      <c r="W1230" s="229"/>
      <c r="Y1230" s="223" t="str">
        <f t="shared" si="41"/>
        <v/>
      </c>
    </row>
    <row r="1231" spans="1:25" s="223" customFormat="1" ht="20.25">
      <c r="A1231" s="291"/>
      <c r="B1231" s="292" t="str">
        <f>IF(LEN(A1231)=0,"",INDEX('Smelter Reference List'!$A:$A,MATCH($A1231,'Smelter Reference List'!$E:$E,0)))</f>
        <v/>
      </c>
      <c r="C1231" s="298" t="str">
        <f>IF(LEN(A1231)=0,"",INDEX('Smelter Reference List'!$C:$C,MATCH($A1231,'Smelter Reference List'!$E:$E,0)))</f>
        <v/>
      </c>
      <c r="D1231" s="292" t="str">
        <f ca="1">IF(ISERROR($S1231),"",OFFSET('Smelter Reference List'!$C$4,$S1231-4,0)&amp;"")</f>
        <v/>
      </c>
      <c r="E1231" s="292" t="str">
        <f ca="1">IF(ISERROR($S1231),"",OFFSET('Smelter Reference List'!$D$4,$S1231-4,0)&amp;"")</f>
        <v/>
      </c>
      <c r="F1231" s="292" t="str">
        <f ca="1">IF(ISERROR($S1231),"",OFFSET('Smelter Reference List'!$E$4,$S1231-4,0))</f>
        <v/>
      </c>
      <c r="G1231" s="292" t="str">
        <f ca="1">IF(C1231=$U$4,"Enter smelter details", IF(ISERROR($S1231),"",OFFSET('Smelter Reference List'!$F$4,$S1231-4,0)))</f>
        <v/>
      </c>
      <c r="H1231" s="293" t="str">
        <f ca="1">IF(ISERROR($S1231),"",OFFSET('Smelter Reference List'!$G$4,$S1231-4,0))</f>
        <v/>
      </c>
      <c r="I1231" s="294" t="str">
        <f ca="1">IF(ISERROR($S1231),"",OFFSET('Smelter Reference List'!$H$4,$S1231-4,0))</f>
        <v/>
      </c>
      <c r="J1231" s="294" t="str">
        <f ca="1">IF(ISERROR($S1231),"",OFFSET('Smelter Reference List'!$I$4,$S1231-4,0))</f>
        <v/>
      </c>
      <c r="K1231" s="295"/>
      <c r="L1231" s="295"/>
      <c r="M1231" s="295"/>
      <c r="N1231" s="295"/>
      <c r="O1231" s="295"/>
      <c r="P1231" s="295"/>
      <c r="Q1231" s="296"/>
      <c r="R1231" s="227"/>
      <c r="S1231" s="228" t="e">
        <f>IF(C1231="",NA(),MATCH($B1231&amp;$C1231,'Smelter Reference List'!$J:$J,0))</f>
        <v>#N/A</v>
      </c>
      <c r="T1231" s="229"/>
      <c r="U1231" s="229">
        <f t="shared" ca="1" si="40"/>
        <v>0</v>
      </c>
      <c r="V1231" s="229"/>
      <c r="W1231" s="229"/>
      <c r="Y1231" s="223" t="str">
        <f t="shared" si="41"/>
        <v/>
      </c>
    </row>
    <row r="1232" spans="1:25" s="223" customFormat="1" ht="20.25">
      <c r="A1232" s="291"/>
      <c r="B1232" s="292" t="str">
        <f>IF(LEN(A1232)=0,"",INDEX('Smelter Reference List'!$A:$A,MATCH($A1232,'Smelter Reference List'!$E:$E,0)))</f>
        <v/>
      </c>
      <c r="C1232" s="298" t="str">
        <f>IF(LEN(A1232)=0,"",INDEX('Smelter Reference List'!$C:$C,MATCH($A1232,'Smelter Reference List'!$E:$E,0)))</f>
        <v/>
      </c>
      <c r="D1232" s="292" t="str">
        <f ca="1">IF(ISERROR($S1232),"",OFFSET('Smelter Reference List'!$C$4,$S1232-4,0)&amp;"")</f>
        <v/>
      </c>
      <c r="E1232" s="292" t="str">
        <f ca="1">IF(ISERROR($S1232),"",OFFSET('Smelter Reference List'!$D$4,$S1232-4,0)&amp;"")</f>
        <v/>
      </c>
      <c r="F1232" s="292" t="str">
        <f ca="1">IF(ISERROR($S1232),"",OFFSET('Smelter Reference List'!$E$4,$S1232-4,0))</f>
        <v/>
      </c>
      <c r="G1232" s="292" t="str">
        <f ca="1">IF(C1232=$U$4,"Enter smelter details", IF(ISERROR($S1232),"",OFFSET('Smelter Reference List'!$F$4,$S1232-4,0)))</f>
        <v/>
      </c>
      <c r="H1232" s="293" t="str">
        <f ca="1">IF(ISERROR($S1232),"",OFFSET('Smelter Reference List'!$G$4,$S1232-4,0))</f>
        <v/>
      </c>
      <c r="I1232" s="294" t="str">
        <f ca="1">IF(ISERROR($S1232),"",OFFSET('Smelter Reference List'!$H$4,$S1232-4,0))</f>
        <v/>
      </c>
      <c r="J1232" s="294" t="str">
        <f ca="1">IF(ISERROR($S1232),"",OFFSET('Smelter Reference List'!$I$4,$S1232-4,0))</f>
        <v/>
      </c>
      <c r="K1232" s="295"/>
      <c r="L1232" s="295"/>
      <c r="M1232" s="295"/>
      <c r="N1232" s="295"/>
      <c r="O1232" s="295"/>
      <c r="P1232" s="295"/>
      <c r="Q1232" s="296"/>
      <c r="R1232" s="227"/>
      <c r="S1232" s="228" t="e">
        <f>IF(C1232="",NA(),MATCH($B1232&amp;$C1232,'Smelter Reference List'!$J:$J,0))</f>
        <v>#N/A</v>
      </c>
      <c r="T1232" s="229"/>
      <c r="U1232" s="229">
        <f t="shared" ca="1" si="40"/>
        <v>0</v>
      </c>
      <c r="V1232" s="229"/>
      <c r="W1232" s="229"/>
      <c r="Y1232" s="223" t="str">
        <f t="shared" si="41"/>
        <v/>
      </c>
    </row>
    <row r="1233" spans="1:25" s="223" customFormat="1" ht="20.25">
      <c r="A1233" s="291"/>
      <c r="B1233" s="292" t="str">
        <f>IF(LEN(A1233)=0,"",INDEX('Smelter Reference List'!$A:$A,MATCH($A1233,'Smelter Reference List'!$E:$E,0)))</f>
        <v/>
      </c>
      <c r="C1233" s="298" t="str">
        <f>IF(LEN(A1233)=0,"",INDEX('Smelter Reference List'!$C:$C,MATCH($A1233,'Smelter Reference List'!$E:$E,0)))</f>
        <v/>
      </c>
      <c r="D1233" s="292" t="str">
        <f ca="1">IF(ISERROR($S1233),"",OFFSET('Smelter Reference List'!$C$4,$S1233-4,0)&amp;"")</f>
        <v/>
      </c>
      <c r="E1233" s="292" t="str">
        <f ca="1">IF(ISERROR($S1233),"",OFFSET('Smelter Reference List'!$D$4,$S1233-4,0)&amp;"")</f>
        <v/>
      </c>
      <c r="F1233" s="292" t="str">
        <f ca="1">IF(ISERROR($S1233),"",OFFSET('Smelter Reference List'!$E$4,$S1233-4,0))</f>
        <v/>
      </c>
      <c r="G1233" s="292" t="str">
        <f ca="1">IF(C1233=$U$4,"Enter smelter details", IF(ISERROR($S1233),"",OFFSET('Smelter Reference List'!$F$4,$S1233-4,0)))</f>
        <v/>
      </c>
      <c r="H1233" s="293" t="str">
        <f ca="1">IF(ISERROR($S1233),"",OFFSET('Smelter Reference List'!$G$4,$S1233-4,0))</f>
        <v/>
      </c>
      <c r="I1233" s="294" t="str">
        <f ca="1">IF(ISERROR($S1233),"",OFFSET('Smelter Reference List'!$H$4,$S1233-4,0))</f>
        <v/>
      </c>
      <c r="J1233" s="294" t="str">
        <f ca="1">IF(ISERROR($S1233),"",OFFSET('Smelter Reference List'!$I$4,$S1233-4,0))</f>
        <v/>
      </c>
      <c r="K1233" s="295"/>
      <c r="L1233" s="295"/>
      <c r="M1233" s="295"/>
      <c r="N1233" s="295"/>
      <c r="O1233" s="295"/>
      <c r="P1233" s="295"/>
      <c r="Q1233" s="296"/>
      <c r="R1233" s="227"/>
      <c r="S1233" s="228" t="e">
        <f>IF(C1233="",NA(),MATCH($B1233&amp;$C1233,'Smelter Reference List'!$J:$J,0))</f>
        <v>#N/A</v>
      </c>
      <c r="T1233" s="229"/>
      <c r="U1233" s="229">
        <f t="shared" ca="1" si="40"/>
        <v>0</v>
      </c>
      <c r="V1233" s="229"/>
      <c r="W1233" s="229"/>
      <c r="Y1233" s="223" t="str">
        <f t="shared" si="41"/>
        <v/>
      </c>
    </row>
    <row r="1234" spans="1:25" s="223" customFormat="1" ht="20.25">
      <c r="A1234" s="291"/>
      <c r="B1234" s="292" t="str">
        <f>IF(LEN(A1234)=0,"",INDEX('Smelter Reference List'!$A:$A,MATCH($A1234,'Smelter Reference List'!$E:$E,0)))</f>
        <v/>
      </c>
      <c r="C1234" s="298" t="str">
        <f>IF(LEN(A1234)=0,"",INDEX('Smelter Reference List'!$C:$C,MATCH($A1234,'Smelter Reference List'!$E:$E,0)))</f>
        <v/>
      </c>
      <c r="D1234" s="292" t="str">
        <f ca="1">IF(ISERROR($S1234),"",OFFSET('Smelter Reference List'!$C$4,$S1234-4,0)&amp;"")</f>
        <v/>
      </c>
      <c r="E1234" s="292" t="str">
        <f ca="1">IF(ISERROR($S1234),"",OFFSET('Smelter Reference List'!$D$4,$S1234-4,0)&amp;"")</f>
        <v/>
      </c>
      <c r="F1234" s="292" t="str">
        <f ca="1">IF(ISERROR($S1234),"",OFFSET('Smelter Reference List'!$E$4,$S1234-4,0))</f>
        <v/>
      </c>
      <c r="G1234" s="292" t="str">
        <f ca="1">IF(C1234=$U$4,"Enter smelter details", IF(ISERROR($S1234),"",OFFSET('Smelter Reference List'!$F$4,$S1234-4,0)))</f>
        <v/>
      </c>
      <c r="H1234" s="293" t="str">
        <f ca="1">IF(ISERROR($S1234),"",OFFSET('Smelter Reference List'!$G$4,$S1234-4,0))</f>
        <v/>
      </c>
      <c r="I1234" s="294" t="str">
        <f ca="1">IF(ISERROR($S1234),"",OFFSET('Smelter Reference List'!$H$4,$S1234-4,0))</f>
        <v/>
      </c>
      <c r="J1234" s="294" t="str">
        <f ca="1">IF(ISERROR($S1234),"",OFFSET('Smelter Reference List'!$I$4,$S1234-4,0))</f>
        <v/>
      </c>
      <c r="K1234" s="295"/>
      <c r="L1234" s="295"/>
      <c r="M1234" s="295"/>
      <c r="N1234" s="295"/>
      <c r="O1234" s="295"/>
      <c r="P1234" s="295"/>
      <c r="Q1234" s="296"/>
      <c r="R1234" s="227"/>
      <c r="S1234" s="228" t="e">
        <f>IF(C1234="",NA(),MATCH($B1234&amp;$C1234,'Smelter Reference List'!$J:$J,0))</f>
        <v>#N/A</v>
      </c>
      <c r="T1234" s="229"/>
      <c r="U1234" s="229">
        <f t="shared" ca="1" si="40"/>
        <v>0</v>
      </c>
      <c r="V1234" s="229"/>
      <c r="W1234" s="229"/>
      <c r="Y1234" s="223" t="str">
        <f t="shared" si="41"/>
        <v/>
      </c>
    </row>
    <row r="1235" spans="1:25" s="223" customFormat="1" ht="20.25">
      <c r="A1235" s="291"/>
      <c r="B1235" s="292" t="str">
        <f>IF(LEN(A1235)=0,"",INDEX('Smelter Reference List'!$A:$A,MATCH($A1235,'Smelter Reference List'!$E:$E,0)))</f>
        <v/>
      </c>
      <c r="C1235" s="298" t="str">
        <f>IF(LEN(A1235)=0,"",INDEX('Smelter Reference List'!$C:$C,MATCH($A1235,'Smelter Reference List'!$E:$E,0)))</f>
        <v/>
      </c>
      <c r="D1235" s="292" t="str">
        <f ca="1">IF(ISERROR($S1235),"",OFFSET('Smelter Reference List'!$C$4,$S1235-4,0)&amp;"")</f>
        <v/>
      </c>
      <c r="E1235" s="292" t="str">
        <f ca="1">IF(ISERROR($S1235),"",OFFSET('Smelter Reference List'!$D$4,$S1235-4,0)&amp;"")</f>
        <v/>
      </c>
      <c r="F1235" s="292" t="str">
        <f ca="1">IF(ISERROR($S1235),"",OFFSET('Smelter Reference List'!$E$4,$S1235-4,0))</f>
        <v/>
      </c>
      <c r="G1235" s="292" t="str">
        <f ca="1">IF(C1235=$U$4,"Enter smelter details", IF(ISERROR($S1235),"",OFFSET('Smelter Reference List'!$F$4,$S1235-4,0)))</f>
        <v/>
      </c>
      <c r="H1235" s="293" t="str">
        <f ca="1">IF(ISERROR($S1235),"",OFFSET('Smelter Reference List'!$G$4,$S1235-4,0))</f>
        <v/>
      </c>
      <c r="I1235" s="294" t="str">
        <f ca="1">IF(ISERROR($S1235),"",OFFSET('Smelter Reference List'!$H$4,$S1235-4,0))</f>
        <v/>
      </c>
      <c r="J1235" s="294" t="str">
        <f ca="1">IF(ISERROR($S1235),"",OFFSET('Smelter Reference List'!$I$4,$S1235-4,0))</f>
        <v/>
      </c>
      <c r="K1235" s="295"/>
      <c r="L1235" s="295"/>
      <c r="M1235" s="295"/>
      <c r="N1235" s="295"/>
      <c r="O1235" s="295"/>
      <c r="P1235" s="295"/>
      <c r="Q1235" s="296"/>
      <c r="R1235" s="227"/>
      <c r="S1235" s="228" t="e">
        <f>IF(C1235="",NA(),MATCH($B1235&amp;$C1235,'Smelter Reference List'!$J:$J,0))</f>
        <v>#N/A</v>
      </c>
      <c r="T1235" s="229"/>
      <c r="U1235" s="229">
        <f t="shared" ca="1" si="40"/>
        <v>0</v>
      </c>
      <c r="V1235" s="229"/>
      <c r="W1235" s="229"/>
      <c r="Y1235" s="223" t="str">
        <f t="shared" si="41"/>
        <v/>
      </c>
    </row>
    <row r="1236" spans="1:25" s="223" customFormat="1" ht="20.25">
      <c r="A1236" s="291"/>
      <c r="B1236" s="292" t="str">
        <f>IF(LEN(A1236)=0,"",INDEX('Smelter Reference List'!$A:$A,MATCH($A1236,'Smelter Reference List'!$E:$E,0)))</f>
        <v/>
      </c>
      <c r="C1236" s="298" t="str">
        <f>IF(LEN(A1236)=0,"",INDEX('Smelter Reference List'!$C:$C,MATCH($A1236,'Smelter Reference List'!$E:$E,0)))</f>
        <v/>
      </c>
      <c r="D1236" s="292" t="str">
        <f ca="1">IF(ISERROR($S1236),"",OFFSET('Smelter Reference List'!$C$4,$S1236-4,0)&amp;"")</f>
        <v/>
      </c>
      <c r="E1236" s="292" t="str">
        <f ca="1">IF(ISERROR($S1236),"",OFFSET('Smelter Reference List'!$D$4,$S1236-4,0)&amp;"")</f>
        <v/>
      </c>
      <c r="F1236" s="292" t="str">
        <f ca="1">IF(ISERROR($S1236),"",OFFSET('Smelter Reference List'!$E$4,$S1236-4,0))</f>
        <v/>
      </c>
      <c r="G1236" s="292" t="str">
        <f ca="1">IF(C1236=$U$4,"Enter smelter details", IF(ISERROR($S1236),"",OFFSET('Smelter Reference List'!$F$4,$S1236-4,0)))</f>
        <v/>
      </c>
      <c r="H1236" s="293" t="str">
        <f ca="1">IF(ISERROR($S1236),"",OFFSET('Smelter Reference List'!$G$4,$S1236-4,0))</f>
        <v/>
      </c>
      <c r="I1236" s="294" t="str">
        <f ca="1">IF(ISERROR($S1236),"",OFFSET('Smelter Reference List'!$H$4,$S1236-4,0))</f>
        <v/>
      </c>
      <c r="J1236" s="294" t="str">
        <f ca="1">IF(ISERROR($S1236),"",OFFSET('Smelter Reference List'!$I$4,$S1236-4,0))</f>
        <v/>
      </c>
      <c r="K1236" s="295"/>
      <c r="L1236" s="295"/>
      <c r="M1236" s="295"/>
      <c r="N1236" s="295"/>
      <c r="O1236" s="295"/>
      <c r="P1236" s="295"/>
      <c r="Q1236" s="296"/>
      <c r="R1236" s="227"/>
      <c r="S1236" s="228" t="e">
        <f>IF(C1236="",NA(),MATCH($B1236&amp;$C1236,'Smelter Reference List'!$J:$J,0))</f>
        <v>#N/A</v>
      </c>
      <c r="T1236" s="229"/>
      <c r="U1236" s="229">
        <f t="shared" ca="1" si="40"/>
        <v>0</v>
      </c>
      <c r="V1236" s="229"/>
      <c r="W1236" s="229"/>
      <c r="Y1236" s="223" t="str">
        <f t="shared" si="41"/>
        <v/>
      </c>
    </row>
    <row r="1237" spans="1:25" s="223" customFormat="1" ht="20.25">
      <c r="A1237" s="291"/>
      <c r="B1237" s="292" t="str">
        <f>IF(LEN(A1237)=0,"",INDEX('Smelter Reference List'!$A:$A,MATCH($A1237,'Smelter Reference List'!$E:$E,0)))</f>
        <v/>
      </c>
      <c r="C1237" s="298" t="str">
        <f>IF(LEN(A1237)=0,"",INDEX('Smelter Reference List'!$C:$C,MATCH($A1237,'Smelter Reference List'!$E:$E,0)))</f>
        <v/>
      </c>
      <c r="D1237" s="292" t="str">
        <f ca="1">IF(ISERROR($S1237),"",OFFSET('Smelter Reference List'!$C$4,$S1237-4,0)&amp;"")</f>
        <v/>
      </c>
      <c r="E1237" s="292" t="str">
        <f ca="1">IF(ISERROR($S1237),"",OFFSET('Smelter Reference List'!$D$4,$S1237-4,0)&amp;"")</f>
        <v/>
      </c>
      <c r="F1237" s="292" t="str">
        <f ca="1">IF(ISERROR($S1237),"",OFFSET('Smelter Reference List'!$E$4,$S1237-4,0))</f>
        <v/>
      </c>
      <c r="G1237" s="292" t="str">
        <f ca="1">IF(C1237=$U$4,"Enter smelter details", IF(ISERROR($S1237),"",OFFSET('Smelter Reference List'!$F$4,$S1237-4,0)))</f>
        <v/>
      </c>
      <c r="H1237" s="293" t="str">
        <f ca="1">IF(ISERROR($S1237),"",OFFSET('Smelter Reference List'!$G$4,$S1237-4,0))</f>
        <v/>
      </c>
      <c r="I1237" s="294" t="str">
        <f ca="1">IF(ISERROR($S1237),"",OFFSET('Smelter Reference List'!$H$4,$S1237-4,0))</f>
        <v/>
      </c>
      <c r="J1237" s="294" t="str">
        <f ca="1">IF(ISERROR($S1237),"",OFFSET('Smelter Reference List'!$I$4,$S1237-4,0))</f>
        <v/>
      </c>
      <c r="K1237" s="295"/>
      <c r="L1237" s="295"/>
      <c r="M1237" s="295"/>
      <c r="N1237" s="295"/>
      <c r="O1237" s="295"/>
      <c r="P1237" s="295"/>
      <c r="Q1237" s="296"/>
      <c r="R1237" s="227"/>
      <c r="S1237" s="228" t="e">
        <f>IF(C1237="",NA(),MATCH($B1237&amp;$C1237,'Smelter Reference List'!$J:$J,0))</f>
        <v>#N/A</v>
      </c>
      <c r="T1237" s="229"/>
      <c r="U1237" s="229">
        <f t="shared" ca="1" si="40"/>
        <v>0</v>
      </c>
      <c r="V1237" s="229"/>
      <c r="W1237" s="229"/>
      <c r="Y1237" s="223" t="str">
        <f t="shared" si="41"/>
        <v/>
      </c>
    </row>
    <row r="1238" spans="1:25" s="223" customFormat="1" ht="20.25">
      <c r="A1238" s="291"/>
      <c r="B1238" s="292" t="str">
        <f>IF(LEN(A1238)=0,"",INDEX('Smelter Reference List'!$A:$A,MATCH($A1238,'Smelter Reference List'!$E:$E,0)))</f>
        <v/>
      </c>
      <c r="C1238" s="298" t="str">
        <f>IF(LEN(A1238)=0,"",INDEX('Smelter Reference List'!$C:$C,MATCH($A1238,'Smelter Reference List'!$E:$E,0)))</f>
        <v/>
      </c>
      <c r="D1238" s="292" t="str">
        <f ca="1">IF(ISERROR($S1238),"",OFFSET('Smelter Reference List'!$C$4,$S1238-4,0)&amp;"")</f>
        <v/>
      </c>
      <c r="E1238" s="292" t="str">
        <f ca="1">IF(ISERROR($S1238),"",OFFSET('Smelter Reference List'!$D$4,$S1238-4,0)&amp;"")</f>
        <v/>
      </c>
      <c r="F1238" s="292" t="str">
        <f ca="1">IF(ISERROR($S1238),"",OFFSET('Smelter Reference List'!$E$4,$S1238-4,0))</f>
        <v/>
      </c>
      <c r="G1238" s="292" t="str">
        <f ca="1">IF(C1238=$U$4,"Enter smelter details", IF(ISERROR($S1238),"",OFFSET('Smelter Reference List'!$F$4,$S1238-4,0)))</f>
        <v/>
      </c>
      <c r="H1238" s="293" t="str">
        <f ca="1">IF(ISERROR($S1238),"",OFFSET('Smelter Reference List'!$G$4,$S1238-4,0))</f>
        <v/>
      </c>
      <c r="I1238" s="294" t="str">
        <f ca="1">IF(ISERROR($S1238),"",OFFSET('Smelter Reference List'!$H$4,$S1238-4,0))</f>
        <v/>
      </c>
      <c r="J1238" s="294" t="str">
        <f ca="1">IF(ISERROR($S1238),"",OFFSET('Smelter Reference List'!$I$4,$S1238-4,0))</f>
        <v/>
      </c>
      <c r="K1238" s="295"/>
      <c r="L1238" s="295"/>
      <c r="M1238" s="295"/>
      <c r="N1238" s="295"/>
      <c r="O1238" s="295"/>
      <c r="P1238" s="295"/>
      <c r="Q1238" s="296"/>
      <c r="R1238" s="227"/>
      <c r="S1238" s="228" t="e">
        <f>IF(C1238="",NA(),MATCH($B1238&amp;$C1238,'Smelter Reference List'!$J:$J,0))</f>
        <v>#N/A</v>
      </c>
      <c r="T1238" s="229"/>
      <c r="U1238" s="229">
        <f t="shared" ca="1" si="40"/>
        <v>0</v>
      </c>
      <c r="V1238" s="229"/>
      <c r="W1238" s="229"/>
      <c r="Y1238" s="223" t="str">
        <f t="shared" si="41"/>
        <v/>
      </c>
    </row>
    <row r="1239" spans="1:25" s="223" customFormat="1" ht="20.25">
      <c r="A1239" s="291"/>
      <c r="B1239" s="292" t="str">
        <f>IF(LEN(A1239)=0,"",INDEX('Smelter Reference List'!$A:$A,MATCH($A1239,'Smelter Reference List'!$E:$E,0)))</f>
        <v/>
      </c>
      <c r="C1239" s="298" t="str">
        <f>IF(LEN(A1239)=0,"",INDEX('Smelter Reference List'!$C:$C,MATCH($A1239,'Smelter Reference List'!$E:$E,0)))</f>
        <v/>
      </c>
      <c r="D1239" s="292" t="str">
        <f ca="1">IF(ISERROR($S1239),"",OFFSET('Smelter Reference List'!$C$4,$S1239-4,0)&amp;"")</f>
        <v/>
      </c>
      <c r="E1239" s="292" t="str">
        <f ca="1">IF(ISERROR($S1239),"",OFFSET('Smelter Reference List'!$D$4,$S1239-4,0)&amp;"")</f>
        <v/>
      </c>
      <c r="F1239" s="292" t="str">
        <f ca="1">IF(ISERROR($S1239),"",OFFSET('Smelter Reference List'!$E$4,$S1239-4,0))</f>
        <v/>
      </c>
      <c r="G1239" s="292" t="str">
        <f ca="1">IF(C1239=$U$4,"Enter smelter details", IF(ISERROR($S1239),"",OFFSET('Smelter Reference List'!$F$4,$S1239-4,0)))</f>
        <v/>
      </c>
      <c r="H1239" s="293" t="str">
        <f ca="1">IF(ISERROR($S1239),"",OFFSET('Smelter Reference List'!$G$4,$S1239-4,0))</f>
        <v/>
      </c>
      <c r="I1239" s="294" t="str">
        <f ca="1">IF(ISERROR($S1239),"",OFFSET('Smelter Reference List'!$H$4,$S1239-4,0))</f>
        <v/>
      </c>
      <c r="J1239" s="294" t="str">
        <f ca="1">IF(ISERROR($S1239),"",OFFSET('Smelter Reference List'!$I$4,$S1239-4,0))</f>
        <v/>
      </c>
      <c r="K1239" s="295"/>
      <c r="L1239" s="295"/>
      <c r="M1239" s="295"/>
      <c r="N1239" s="295"/>
      <c r="O1239" s="295"/>
      <c r="P1239" s="295"/>
      <c r="Q1239" s="296"/>
      <c r="R1239" s="227"/>
      <c r="S1239" s="228" t="e">
        <f>IF(C1239="",NA(),MATCH($B1239&amp;$C1239,'Smelter Reference List'!$J:$J,0))</f>
        <v>#N/A</v>
      </c>
      <c r="T1239" s="229"/>
      <c r="U1239" s="229">
        <f t="shared" ca="1" si="40"/>
        <v>0</v>
      </c>
      <c r="V1239" s="229"/>
      <c r="W1239" s="229"/>
      <c r="Y1239" s="223" t="str">
        <f t="shared" si="41"/>
        <v/>
      </c>
    </row>
    <row r="1240" spans="1:25" s="223" customFormat="1" ht="20.25">
      <c r="A1240" s="291"/>
      <c r="B1240" s="292" t="str">
        <f>IF(LEN(A1240)=0,"",INDEX('Smelter Reference List'!$A:$A,MATCH($A1240,'Smelter Reference List'!$E:$E,0)))</f>
        <v/>
      </c>
      <c r="C1240" s="298" t="str">
        <f>IF(LEN(A1240)=0,"",INDEX('Smelter Reference List'!$C:$C,MATCH($A1240,'Smelter Reference List'!$E:$E,0)))</f>
        <v/>
      </c>
      <c r="D1240" s="292" t="str">
        <f ca="1">IF(ISERROR($S1240),"",OFFSET('Smelter Reference List'!$C$4,$S1240-4,0)&amp;"")</f>
        <v/>
      </c>
      <c r="E1240" s="292" t="str">
        <f ca="1">IF(ISERROR($S1240),"",OFFSET('Smelter Reference List'!$D$4,$S1240-4,0)&amp;"")</f>
        <v/>
      </c>
      <c r="F1240" s="292" t="str">
        <f ca="1">IF(ISERROR($S1240),"",OFFSET('Smelter Reference List'!$E$4,$S1240-4,0))</f>
        <v/>
      </c>
      <c r="G1240" s="292" t="str">
        <f ca="1">IF(C1240=$U$4,"Enter smelter details", IF(ISERROR($S1240),"",OFFSET('Smelter Reference List'!$F$4,$S1240-4,0)))</f>
        <v/>
      </c>
      <c r="H1240" s="293" t="str">
        <f ca="1">IF(ISERROR($S1240),"",OFFSET('Smelter Reference List'!$G$4,$S1240-4,0))</f>
        <v/>
      </c>
      <c r="I1240" s="294" t="str">
        <f ca="1">IF(ISERROR($S1240),"",OFFSET('Smelter Reference List'!$H$4,$S1240-4,0))</f>
        <v/>
      </c>
      <c r="J1240" s="294" t="str">
        <f ca="1">IF(ISERROR($S1240),"",OFFSET('Smelter Reference List'!$I$4,$S1240-4,0))</f>
        <v/>
      </c>
      <c r="K1240" s="295"/>
      <c r="L1240" s="295"/>
      <c r="M1240" s="295"/>
      <c r="N1240" s="295"/>
      <c r="O1240" s="295"/>
      <c r="P1240" s="295"/>
      <c r="Q1240" s="296"/>
      <c r="R1240" s="227"/>
      <c r="S1240" s="228" t="e">
        <f>IF(C1240="",NA(),MATCH($B1240&amp;$C1240,'Smelter Reference List'!$J:$J,0))</f>
        <v>#N/A</v>
      </c>
      <c r="T1240" s="229"/>
      <c r="U1240" s="229">
        <f t="shared" ca="1" si="40"/>
        <v>0</v>
      </c>
      <c r="V1240" s="229"/>
      <c r="W1240" s="229"/>
      <c r="Y1240" s="223" t="str">
        <f t="shared" si="41"/>
        <v/>
      </c>
    </row>
    <row r="1241" spans="1:25" s="223" customFormat="1" ht="20.25">
      <c r="A1241" s="291"/>
      <c r="B1241" s="292" t="str">
        <f>IF(LEN(A1241)=0,"",INDEX('Smelter Reference List'!$A:$A,MATCH($A1241,'Smelter Reference List'!$E:$E,0)))</f>
        <v/>
      </c>
      <c r="C1241" s="298" t="str">
        <f>IF(LEN(A1241)=0,"",INDEX('Smelter Reference List'!$C:$C,MATCH($A1241,'Smelter Reference List'!$E:$E,0)))</f>
        <v/>
      </c>
      <c r="D1241" s="292" t="str">
        <f ca="1">IF(ISERROR($S1241),"",OFFSET('Smelter Reference List'!$C$4,$S1241-4,0)&amp;"")</f>
        <v/>
      </c>
      <c r="E1241" s="292" t="str">
        <f ca="1">IF(ISERROR($S1241),"",OFFSET('Smelter Reference List'!$D$4,$S1241-4,0)&amp;"")</f>
        <v/>
      </c>
      <c r="F1241" s="292" t="str">
        <f ca="1">IF(ISERROR($S1241),"",OFFSET('Smelter Reference List'!$E$4,$S1241-4,0))</f>
        <v/>
      </c>
      <c r="G1241" s="292" t="str">
        <f ca="1">IF(C1241=$U$4,"Enter smelter details", IF(ISERROR($S1241),"",OFFSET('Smelter Reference List'!$F$4,$S1241-4,0)))</f>
        <v/>
      </c>
      <c r="H1241" s="293" t="str">
        <f ca="1">IF(ISERROR($S1241),"",OFFSET('Smelter Reference List'!$G$4,$S1241-4,0))</f>
        <v/>
      </c>
      <c r="I1241" s="294" t="str">
        <f ca="1">IF(ISERROR($S1241),"",OFFSET('Smelter Reference List'!$H$4,$S1241-4,0))</f>
        <v/>
      </c>
      <c r="J1241" s="294" t="str">
        <f ca="1">IF(ISERROR($S1241),"",OFFSET('Smelter Reference List'!$I$4,$S1241-4,0))</f>
        <v/>
      </c>
      <c r="K1241" s="295"/>
      <c r="L1241" s="295"/>
      <c r="M1241" s="295"/>
      <c r="N1241" s="295"/>
      <c r="O1241" s="295"/>
      <c r="P1241" s="295"/>
      <c r="Q1241" s="296"/>
      <c r="R1241" s="227"/>
      <c r="S1241" s="228" t="e">
        <f>IF(C1241="",NA(),MATCH($B1241&amp;$C1241,'Smelter Reference List'!$J:$J,0))</f>
        <v>#N/A</v>
      </c>
      <c r="T1241" s="229"/>
      <c r="U1241" s="229">
        <f t="shared" ca="1" si="40"/>
        <v>0</v>
      </c>
      <c r="V1241" s="229"/>
      <c r="W1241" s="229"/>
      <c r="Y1241" s="223" t="str">
        <f t="shared" si="41"/>
        <v/>
      </c>
    </row>
    <row r="1242" spans="1:25" s="223" customFormat="1" ht="20.25">
      <c r="A1242" s="291"/>
      <c r="B1242" s="292" t="str">
        <f>IF(LEN(A1242)=0,"",INDEX('Smelter Reference List'!$A:$A,MATCH($A1242,'Smelter Reference List'!$E:$E,0)))</f>
        <v/>
      </c>
      <c r="C1242" s="298" t="str">
        <f>IF(LEN(A1242)=0,"",INDEX('Smelter Reference List'!$C:$C,MATCH($A1242,'Smelter Reference List'!$E:$E,0)))</f>
        <v/>
      </c>
      <c r="D1242" s="292" t="str">
        <f ca="1">IF(ISERROR($S1242),"",OFFSET('Smelter Reference List'!$C$4,$S1242-4,0)&amp;"")</f>
        <v/>
      </c>
      <c r="E1242" s="292" t="str">
        <f ca="1">IF(ISERROR($S1242),"",OFFSET('Smelter Reference List'!$D$4,$S1242-4,0)&amp;"")</f>
        <v/>
      </c>
      <c r="F1242" s="292" t="str">
        <f ca="1">IF(ISERROR($S1242),"",OFFSET('Smelter Reference List'!$E$4,$S1242-4,0))</f>
        <v/>
      </c>
      <c r="G1242" s="292" t="str">
        <f ca="1">IF(C1242=$U$4,"Enter smelter details", IF(ISERROR($S1242),"",OFFSET('Smelter Reference List'!$F$4,$S1242-4,0)))</f>
        <v/>
      </c>
      <c r="H1242" s="293" t="str">
        <f ca="1">IF(ISERROR($S1242),"",OFFSET('Smelter Reference List'!$G$4,$S1242-4,0))</f>
        <v/>
      </c>
      <c r="I1242" s="294" t="str">
        <f ca="1">IF(ISERROR($S1242),"",OFFSET('Smelter Reference List'!$H$4,$S1242-4,0))</f>
        <v/>
      </c>
      <c r="J1242" s="294" t="str">
        <f ca="1">IF(ISERROR($S1242),"",OFFSET('Smelter Reference List'!$I$4,$S1242-4,0))</f>
        <v/>
      </c>
      <c r="K1242" s="295"/>
      <c r="L1242" s="295"/>
      <c r="M1242" s="295"/>
      <c r="N1242" s="295"/>
      <c r="O1242" s="295"/>
      <c r="P1242" s="295"/>
      <c r="Q1242" s="296"/>
      <c r="R1242" s="227"/>
      <c r="S1242" s="228" t="e">
        <f>IF(C1242="",NA(),MATCH($B1242&amp;$C1242,'Smelter Reference List'!$J:$J,0))</f>
        <v>#N/A</v>
      </c>
      <c r="T1242" s="229"/>
      <c r="U1242" s="229">
        <f t="shared" ca="1" si="40"/>
        <v>0</v>
      </c>
      <c r="V1242" s="229"/>
      <c r="W1242" s="229"/>
      <c r="Y1242" s="223" t="str">
        <f t="shared" si="41"/>
        <v/>
      </c>
    </row>
    <row r="1243" spans="1:25" s="223" customFormat="1" ht="20.25">
      <c r="A1243" s="291"/>
      <c r="B1243" s="292" t="str">
        <f>IF(LEN(A1243)=0,"",INDEX('Smelter Reference List'!$A:$A,MATCH($A1243,'Smelter Reference List'!$E:$E,0)))</f>
        <v/>
      </c>
      <c r="C1243" s="298" t="str">
        <f>IF(LEN(A1243)=0,"",INDEX('Smelter Reference List'!$C:$C,MATCH($A1243,'Smelter Reference List'!$E:$E,0)))</f>
        <v/>
      </c>
      <c r="D1243" s="292" t="str">
        <f ca="1">IF(ISERROR($S1243),"",OFFSET('Smelter Reference List'!$C$4,$S1243-4,0)&amp;"")</f>
        <v/>
      </c>
      <c r="E1243" s="292" t="str">
        <f ca="1">IF(ISERROR($S1243),"",OFFSET('Smelter Reference List'!$D$4,$S1243-4,0)&amp;"")</f>
        <v/>
      </c>
      <c r="F1243" s="292" t="str">
        <f ca="1">IF(ISERROR($S1243),"",OFFSET('Smelter Reference List'!$E$4,$S1243-4,0))</f>
        <v/>
      </c>
      <c r="G1243" s="292" t="str">
        <f ca="1">IF(C1243=$U$4,"Enter smelter details", IF(ISERROR($S1243),"",OFFSET('Smelter Reference List'!$F$4,$S1243-4,0)))</f>
        <v/>
      </c>
      <c r="H1243" s="293" t="str">
        <f ca="1">IF(ISERROR($S1243),"",OFFSET('Smelter Reference List'!$G$4,$S1243-4,0))</f>
        <v/>
      </c>
      <c r="I1243" s="294" t="str">
        <f ca="1">IF(ISERROR($S1243),"",OFFSET('Smelter Reference List'!$H$4,$S1243-4,0))</f>
        <v/>
      </c>
      <c r="J1243" s="294" t="str">
        <f ca="1">IF(ISERROR($S1243),"",OFFSET('Smelter Reference List'!$I$4,$S1243-4,0))</f>
        <v/>
      </c>
      <c r="K1243" s="295"/>
      <c r="L1243" s="295"/>
      <c r="M1243" s="295"/>
      <c r="N1243" s="295"/>
      <c r="O1243" s="295"/>
      <c r="P1243" s="295"/>
      <c r="Q1243" s="296"/>
      <c r="R1243" s="227"/>
      <c r="S1243" s="228" t="e">
        <f>IF(C1243="",NA(),MATCH($B1243&amp;$C1243,'Smelter Reference List'!$J:$J,0))</f>
        <v>#N/A</v>
      </c>
      <c r="T1243" s="229"/>
      <c r="U1243" s="229">
        <f t="shared" ca="1" si="40"/>
        <v>0</v>
      </c>
      <c r="V1243" s="229"/>
      <c r="W1243" s="229"/>
      <c r="Y1243" s="223" t="str">
        <f t="shared" si="41"/>
        <v/>
      </c>
    </row>
    <row r="1244" spans="1:25" s="223" customFormat="1" ht="20.25">
      <c r="A1244" s="291"/>
      <c r="B1244" s="292" t="str">
        <f>IF(LEN(A1244)=0,"",INDEX('Smelter Reference List'!$A:$A,MATCH($A1244,'Smelter Reference List'!$E:$E,0)))</f>
        <v/>
      </c>
      <c r="C1244" s="298" t="str">
        <f>IF(LEN(A1244)=0,"",INDEX('Smelter Reference List'!$C:$C,MATCH($A1244,'Smelter Reference List'!$E:$E,0)))</f>
        <v/>
      </c>
      <c r="D1244" s="292" t="str">
        <f ca="1">IF(ISERROR($S1244),"",OFFSET('Smelter Reference List'!$C$4,$S1244-4,0)&amp;"")</f>
        <v/>
      </c>
      <c r="E1244" s="292" t="str">
        <f ca="1">IF(ISERROR($S1244),"",OFFSET('Smelter Reference List'!$D$4,$S1244-4,0)&amp;"")</f>
        <v/>
      </c>
      <c r="F1244" s="292" t="str">
        <f ca="1">IF(ISERROR($S1244),"",OFFSET('Smelter Reference List'!$E$4,$S1244-4,0))</f>
        <v/>
      </c>
      <c r="G1244" s="292" t="str">
        <f ca="1">IF(C1244=$U$4,"Enter smelter details", IF(ISERROR($S1244),"",OFFSET('Smelter Reference List'!$F$4,$S1244-4,0)))</f>
        <v/>
      </c>
      <c r="H1244" s="293" t="str">
        <f ca="1">IF(ISERROR($S1244),"",OFFSET('Smelter Reference List'!$G$4,$S1244-4,0))</f>
        <v/>
      </c>
      <c r="I1244" s="294" t="str">
        <f ca="1">IF(ISERROR($S1244),"",OFFSET('Smelter Reference List'!$H$4,$S1244-4,0))</f>
        <v/>
      </c>
      <c r="J1244" s="294" t="str">
        <f ca="1">IF(ISERROR($S1244),"",OFFSET('Smelter Reference List'!$I$4,$S1244-4,0))</f>
        <v/>
      </c>
      <c r="K1244" s="295"/>
      <c r="L1244" s="295"/>
      <c r="M1244" s="295"/>
      <c r="N1244" s="295"/>
      <c r="O1244" s="295"/>
      <c r="P1244" s="295"/>
      <c r="Q1244" s="296"/>
      <c r="R1244" s="227"/>
      <c r="S1244" s="228" t="e">
        <f>IF(C1244="",NA(),MATCH($B1244&amp;$C1244,'Smelter Reference List'!$J:$J,0))</f>
        <v>#N/A</v>
      </c>
      <c r="T1244" s="229"/>
      <c r="U1244" s="229">
        <f t="shared" ca="1" si="40"/>
        <v>0</v>
      </c>
      <c r="V1244" s="229"/>
      <c r="W1244" s="229"/>
      <c r="Y1244" s="223" t="str">
        <f t="shared" si="41"/>
        <v/>
      </c>
    </row>
    <row r="1245" spans="1:25" s="223" customFormat="1" ht="20.25">
      <c r="A1245" s="291"/>
      <c r="B1245" s="292" t="str">
        <f>IF(LEN(A1245)=0,"",INDEX('Smelter Reference List'!$A:$A,MATCH($A1245,'Smelter Reference List'!$E:$E,0)))</f>
        <v/>
      </c>
      <c r="C1245" s="298" t="str">
        <f>IF(LEN(A1245)=0,"",INDEX('Smelter Reference List'!$C:$C,MATCH($A1245,'Smelter Reference List'!$E:$E,0)))</f>
        <v/>
      </c>
      <c r="D1245" s="292" t="str">
        <f ca="1">IF(ISERROR($S1245),"",OFFSET('Smelter Reference List'!$C$4,$S1245-4,0)&amp;"")</f>
        <v/>
      </c>
      <c r="E1245" s="292" t="str">
        <f ca="1">IF(ISERROR($S1245),"",OFFSET('Smelter Reference List'!$D$4,$S1245-4,0)&amp;"")</f>
        <v/>
      </c>
      <c r="F1245" s="292" t="str">
        <f ca="1">IF(ISERROR($S1245),"",OFFSET('Smelter Reference List'!$E$4,$S1245-4,0))</f>
        <v/>
      </c>
      <c r="G1245" s="292" t="str">
        <f ca="1">IF(C1245=$U$4,"Enter smelter details", IF(ISERROR($S1245),"",OFFSET('Smelter Reference List'!$F$4,$S1245-4,0)))</f>
        <v/>
      </c>
      <c r="H1245" s="293" t="str">
        <f ca="1">IF(ISERROR($S1245),"",OFFSET('Smelter Reference List'!$G$4,$S1245-4,0))</f>
        <v/>
      </c>
      <c r="I1245" s="294" t="str">
        <f ca="1">IF(ISERROR($S1245),"",OFFSET('Smelter Reference List'!$H$4,$S1245-4,0))</f>
        <v/>
      </c>
      <c r="J1245" s="294" t="str">
        <f ca="1">IF(ISERROR($S1245),"",OFFSET('Smelter Reference List'!$I$4,$S1245-4,0))</f>
        <v/>
      </c>
      <c r="K1245" s="295"/>
      <c r="L1245" s="295"/>
      <c r="M1245" s="295"/>
      <c r="N1245" s="295"/>
      <c r="O1245" s="295"/>
      <c r="P1245" s="295"/>
      <c r="Q1245" s="296"/>
      <c r="R1245" s="227"/>
      <c r="S1245" s="228" t="e">
        <f>IF(C1245="",NA(),MATCH($B1245&amp;$C1245,'Smelter Reference List'!$J:$J,0))</f>
        <v>#N/A</v>
      </c>
      <c r="T1245" s="229"/>
      <c r="U1245" s="229">
        <f t="shared" ca="1" si="40"/>
        <v>0</v>
      </c>
      <c r="V1245" s="229"/>
      <c r="W1245" s="229"/>
      <c r="Y1245" s="223" t="str">
        <f t="shared" si="41"/>
        <v/>
      </c>
    </row>
    <row r="1246" spans="1:25" s="223" customFormat="1" ht="20.25">
      <c r="A1246" s="291"/>
      <c r="B1246" s="292" t="str">
        <f>IF(LEN(A1246)=0,"",INDEX('Smelter Reference List'!$A:$A,MATCH($A1246,'Smelter Reference List'!$E:$E,0)))</f>
        <v/>
      </c>
      <c r="C1246" s="298" t="str">
        <f>IF(LEN(A1246)=0,"",INDEX('Smelter Reference List'!$C:$C,MATCH($A1246,'Smelter Reference List'!$E:$E,0)))</f>
        <v/>
      </c>
      <c r="D1246" s="292" t="str">
        <f ca="1">IF(ISERROR($S1246),"",OFFSET('Smelter Reference List'!$C$4,$S1246-4,0)&amp;"")</f>
        <v/>
      </c>
      <c r="E1246" s="292" t="str">
        <f ca="1">IF(ISERROR($S1246),"",OFFSET('Smelter Reference List'!$D$4,$S1246-4,0)&amp;"")</f>
        <v/>
      </c>
      <c r="F1246" s="292" t="str">
        <f ca="1">IF(ISERROR($S1246),"",OFFSET('Smelter Reference List'!$E$4,$S1246-4,0))</f>
        <v/>
      </c>
      <c r="G1246" s="292" t="str">
        <f ca="1">IF(C1246=$U$4,"Enter smelter details", IF(ISERROR($S1246),"",OFFSET('Smelter Reference List'!$F$4,$S1246-4,0)))</f>
        <v/>
      </c>
      <c r="H1246" s="293" t="str">
        <f ca="1">IF(ISERROR($S1246),"",OFFSET('Smelter Reference List'!$G$4,$S1246-4,0))</f>
        <v/>
      </c>
      <c r="I1246" s="294" t="str">
        <f ca="1">IF(ISERROR($S1246),"",OFFSET('Smelter Reference List'!$H$4,$S1246-4,0))</f>
        <v/>
      </c>
      <c r="J1246" s="294" t="str">
        <f ca="1">IF(ISERROR($S1246),"",OFFSET('Smelter Reference List'!$I$4,$S1246-4,0))</f>
        <v/>
      </c>
      <c r="K1246" s="295"/>
      <c r="L1246" s="295"/>
      <c r="M1246" s="295"/>
      <c r="N1246" s="295"/>
      <c r="O1246" s="295"/>
      <c r="P1246" s="295"/>
      <c r="Q1246" s="296"/>
      <c r="R1246" s="227"/>
      <c r="S1246" s="228" t="e">
        <f>IF(C1246="",NA(),MATCH($B1246&amp;$C1246,'Smelter Reference List'!$J:$J,0))</f>
        <v>#N/A</v>
      </c>
      <c r="T1246" s="229"/>
      <c r="U1246" s="229">
        <f t="shared" ca="1" si="40"/>
        <v>0</v>
      </c>
      <c r="V1246" s="229"/>
      <c r="W1246" s="229"/>
      <c r="Y1246" s="223" t="str">
        <f t="shared" si="41"/>
        <v/>
      </c>
    </row>
    <row r="1247" spans="1:25" s="223" customFormat="1" ht="20.25">
      <c r="A1247" s="291"/>
      <c r="B1247" s="292" t="str">
        <f>IF(LEN(A1247)=0,"",INDEX('Smelter Reference List'!$A:$A,MATCH($A1247,'Smelter Reference List'!$E:$E,0)))</f>
        <v/>
      </c>
      <c r="C1247" s="298" t="str">
        <f>IF(LEN(A1247)=0,"",INDEX('Smelter Reference List'!$C:$C,MATCH($A1247,'Smelter Reference List'!$E:$E,0)))</f>
        <v/>
      </c>
      <c r="D1247" s="292" t="str">
        <f ca="1">IF(ISERROR($S1247),"",OFFSET('Smelter Reference List'!$C$4,$S1247-4,0)&amp;"")</f>
        <v/>
      </c>
      <c r="E1247" s="292" t="str">
        <f ca="1">IF(ISERROR($S1247),"",OFFSET('Smelter Reference List'!$D$4,$S1247-4,0)&amp;"")</f>
        <v/>
      </c>
      <c r="F1247" s="292" t="str">
        <f ca="1">IF(ISERROR($S1247),"",OFFSET('Smelter Reference List'!$E$4,$S1247-4,0))</f>
        <v/>
      </c>
      <c r="G1247" s="292" t="str">
        <f ca="1">IF(C1247=$U$4,"Enter smelter details", IF(ISERROR($S1247),"",OFFSET('Smelter Reference List'!$F$4,$S1247-4,0)))</f>
        <v/>
      </c>
      <c r="H1247" s="293" t="str">
        <f ca="1">IF(ISERROR($S1247),"",OFFSET('Smelter Reference List'!$G$4,$S1247-4,0))</f>
        <v/>
      </c>
      <c r="I1247" s="294" t="str">
        <f ca="1">IF(ISERROR($S1247),"",OFFSET('Smelter Reference List'!$H$4,$S1247-4,0))</f>
        <v/>
      </c>
      <c r="J1247" s="294" t="str">
        <f ca="1">IF(ISERROR($S1247),"",OFFSET('Smelter Reference List'!$I$4,$S1247-4,0))</f>
        <v/>
      </c>
      <c r="K1247" s="295"/>
      <c r="L1247" s="295"/>
      <c r="M1247" s="295"/>
      <c r="N1247" s="295"/>
      <c r="O1247" s="295"/>
      <c r="P1247" s="295"/>
      <c r="Q1247" s="296"/>
      <c r="R1247" s="227"/>
      <c r="S1247" s="228" t="e">
        <f>IF(C1247="",NA(),MATCH($B1247&amp;$C1247,'Smelter Reference List'!$J:$J,0))</f>
        <v>#N/A</v>
      </c>
      <c r="T1247" s="229"/>
      <c r="U1247" s="229">
        <f t="shared" ca="1" si="40"/>
        <v>0</v>
      </c>
      <c r="V1247" s="229"/>
      <c r="W1247" s="229"/>
      <c r="Y1247" s="223" t="str">
        <f t="shared" si="41"/>
        <v/>
      </c>
    </row>
    <row r="1248" spans="1:25" s="223" customFormat="1" ht="20.25">
      <c r="A1248" s="291"/>
      <c r="B1248" s="292" t="str">
        <f>IF(LEN(A1248)=0,"",INDEX('Smelter Reference List'!$A:$A,MATCH($A1248,'Smelter Reference List'!$E:$E,0)))</f>
        <v/>
      </c>
      <c r="C1248" s="298" t="str">
        <f>IF(LEN(A1248)=0,"",INDEX('Smelter Reference List'!$C:$C,MATCH($A1248,'Smelter Reference List'!$E:$E,0)))</f>
        <v/>
      </c>
      <c r="D1248" s="292" t="str">
        <f ca="1">IF(ISERROR($S1248),"",OFFSET('Smelter Reference List'!$C$4,$S1248-4,0)&amp;"")</f>
        <v/>
      </c>
      <c r="E1248" s="292" t="str">
        <f ca="1">IF(ISERROR($S1248),"",OFFSET('Smelter Reference List'!$D$4,$S1248-4,0)&amp;"")</f>
        <v/>
      </c>
      <c r="F1248" s="292" t="str">
        <f ca="1">IF(ISERROR($S1248),"",OFFSET('Smelter Reference List'!$E$4,$S1248-4,0))</f>
        <v/>
      </c>
      <c r="G1248" s="292" t="str">
        <f ca="1">IF(C1248=$U$4,"Enter smelter details", IF(ISERROR($S1248),"",OFFSET('Smelter Reference List'!$F$4,$S1248-4,0)))</f>
        <v/>
      </c>
      <c r="H1248" s="293" t="str">
        <f ca="1">IF(ISERROR($S1248),"",OFFSET('Smelter Reference List'!$G$4,$S1248-4,0))</f>
        <v/>
      </c>
      <c r="I1248" s="294" t="str">
        <f ca="1">IF(ISERROR($S1248),"",OFFSET('Smelter Reference List'!$H$4,$S1248-4,0))</f>
        <v/>
      </c>
      <c r="J1248" s="294" t="str">
        <f ca="1">IF(ISERROR($S1248),"",OFFSET('Smelter Reference List'!$I$4,$S1248-4,0))</f>
        <v/>
      </c>
      <c r="K1248" s="295"/>
      <c r="L1248" s="295"/>
      <c r="M1248" s="295"/>
      <c r="N1248" s="295"/>
      <c r="O1248" s="295"/>
      <c r="P1248" s="295"/>
      <c r="Q1248" s="296"/>
      <c r="R1248" s="227"/>
      <c r="S1248" s="228" t="e">
        <f>IF(C1248="",NA(),MATCH($B1248&amp;$C1248,'Smelter Reference List'!$J:$J,0))</f>
        <v>#N/A</v>
      </c>
      <c r="T1248" s="229"/>
      <c r="U1248" s="229">
        <f t="shared" ca="1" si="40"/>
        <v>0</v>
      </c>
      <c r="V1248" s="229"/>
      <c r="W1248" s="229"/>
      <c r="Y1248" s="223" t="str">
        <f t="shared" si="41"/>
        <v/>
      </c>
    </row>
    <row r="1249" spans="1:25" s="223" customFormat="1" ht="20.25">
      <c r="A1249" s="291"/>
      <c r="B1249" s="292" t="str">
        <f>IF(LEN(A1249)=0,"",INDEX('Smelter Reference List'!$A:$A,MATCH($A1249,'Smelter Reference List'!$E:$E,0)))</f>
        <v/>
      </c>
      <c r="C1249" s="298" t="str">
        <f>IF(LEN(A1249)=0,"",INDEX('Smelter Reference List'!$C:$C,MATCH($A1249,'Smelter Reference List'!$E:$E,0)))</f>
        <v/>
      </c>
      <c r="D1249" s="292" t="str">
        <f ca="1">IF(ISERROR($S1249),"",OFFSET('Smelter Reference List'!$C$4,$S1249-4,0)&amp;"")</f>
        <v/>
      </c>
      <c r="E1249" s="292" t="str">
        <f ca="1">IF(ISERROR($S1249),"",OFFSET('Smelter Reference List'!$D$4,$S1249-4,0)&amp;"")</f>
        <v/>
      </c>
      <c r="F1249" s="292" t="str">
        <f ca="1">IF(ISERROR($S1249),"",OFFSET('Smelter Reference List'!$E$4,$S1249-4,0))</f>
        <v/>
      </c>
      <c r="G1249" s="292" t="str">
        <f ca="1">IF(C1249=$U$4,"Enter smelter details", IF(ISERROR($S1249),"",OFFSET('Smelter Reference List'!$F$4,$S1249-4,0)))</f>
        <v/>
      </c>
      <c r="H1249" s="293" t="str">
        <f ca="1">IF(ISERROR($S1249),"",OFFSET('Smelter Reference List'!$G$4,$S1249-4,0))</f>
        <v/>
      </c>
      <c r="I1249" s="294" t="str">
        <f ca="1">IF(ISERROR($S1249),"",OFFSET('Smelter Reference List'!$H$4,$S1249-4,0))</f>
        <v/>
      </c>
      <c r="J1249" s="294" t="str">
        <f ca="1">IF(ISERROR($S1249),"",OFFSET('Smelter Reference List'!$I$4,$S1249-4,0))</f>
        <v/>
      </c>
      <c r="K1249" s="295"/>
      <c r="L1249" s="295"/>
      <c r="M1249" s="295"/>
      <c r="N1249" s="295"/>
      <c r="O1249" s="295"/>
      <c r="P1249" s="295"/>
      <c r="Q1249" s="296"/>
      <c r="R1249" s="227"/>
      <c r="S1249" s="228" t="e">
        <f>IF(C1249="",NA(),MATCH($B1249&amp;$C1249,'Smelter Reference List'!$J:$J,0))</f>
        <v>#N/A</v>
      </c>
      <c r="T1249" s="229"/>
      <c r="U1249" s="229">
        <f t="shared" ca="1" si="40"/>
        <v>0</v>
      </c>
      <c r="V1249" s="229"/>
      <c r="W1249" s="229"/>
      <c r="Y1249" s="223" t="str">
        <f t="shared" si="41"/>
        <v/>
      </c>
    </row>
    <row r="1250" spans="1:25" s="223" customFormat="1" ht="20.25">
      <c r="A1250" s="291"/>
      <c r="B1250" s="292" t="str">
        <f>IF(LEN(A1250)=0,"",INDEX('Smelter Reference List'!$A:$A,MATCH($A1250,'Smelter Reference List'!$E:$E,0)))</f>
        <v/>
      </c>
      <c r="C1250" s="298" t="str">
        <f>IF(LEN(A1250)=0,"",INDEX('Smelter Reference List'!$C:$C,MATCH($A1250,'Smelter Reference List'!$E:$E,0)))</f>
        <v/>
      </c>
      <c r="D1250" s="292" t="str">
        <f ca="1">IF(ISERROR($S1250),"",OFFSET('Smelter Reference List'!$C$4,$S1250-4,0)&amp;"")</f>
        <v/>
      </c>
      <c r="E1250" s="292" t="str">
        <f ca="1">IF(ISERROR($S1250),"",OFFSET('Smelter Reference List'!$D$4,$S1250-4,0)&amp;"")</f>
        <v/>
      </c>
      <c r="F1250" s="292" t="str">
        <f ca="1">IF(ISERROR($S1250),"",OFFSET('Smelter Reference List'!$E$4,$S1250-4,0))</f>
        <v/>
      </c>
      <c r="G1250" s="292" t="str">
        <f ca="1">IF(C1250=$U$4,"Enter smelter details", IF(ISERROR($S1250),"",OFFSET('Smelter Reference List'!$F$4,$S1250-4,0)))</f>
        <v/>
      </c>
      <c r="H1250" s="293" t="str">
        <f ca="1">IF(ISERROR($S1250),"",OFFSET('Smelter Reference List'!$G$4,$S1250-4,0))</f>
        <v/>
      </c>
      <c r="I1250" s="294" t="str">
        <f ca="1">IF(ISERROR($S1250),"",OFFSET('Smelter Reference List'!$H$4,$S1250-4,0))</f>
        <v/>
      </c>
      <c r="J1250" s="294" t="str">
        <f ca="1">IF(ISERROR($S1250),"",OFFSET('Smelter Reference List'!$I$4,$S1250-4,0))</f>
        <v/>
      </c>
      <c r="K1250" s="295"/>
      <c r="L1250" s="295"/>
      <c r="M1250" s="295"/>
      <c r="N1250" s="295"/>
      <c r="O1250" s="295"/>
      <c r="P1250" s="295"/>
      <c r="Q1250" s="296"/>
      <c r="R1250" s="227"/>
      <c r="S1250" s="228" t="e">
        <f>IF(C1250="",NA(),MATCH($B1250&amp;$C1250,'Smelter Reference List'!$J:$J,0))</f>
        <v>#N/A</v>
      </c>
      <c r="T1250" s="229"/>
      <c r="U1250" s="229">
        <f t="shared" ca="1" si="40"/>
        <v>0</v>
      </c>
      <c r="V1250" s="229"/>
      <c r="W1250" s="229"/>
      <c r="Y1250" s="223" t="str">
        <f t="shared" si="41"/>
        <v/>
      </c>
    </row>
    <row r="1251" spans="1:25" s="223" customFormat="1" ht="20.25">
      <c r="A1251" s="291"/>
      <c r="B1251" s="292" t="str">
        <f>IF(LEN(A1251)=0,"",INDEX('Smelter Reference List'!$A:$A,MATCH($A1251,'Smelter Reference List'!$E:$E,0)))</f>
        <v/>
      </c>
      <c r="C1251" s="298" t="str">
        <f>IF(LEN(A1251)=0,"",INDEX('Smelter Reference List'!$C:$C,MATCH($A1251,'Smelter Reference List'!$E:$E,0)))</f>
        <v/>
      </c>
      <c r="D1251" s="292" t="str">
        <f ca="1">IF(ISERROR($S1251),"",OFFSET('Smelter Reference List'!$C$4,$S1251-4,0)&amp;"")</f>
        <v/>
      </c>
      <c r="E1251" s="292" t="str">
        <f ca="1">IF(ISERROR($S1251),"",OFFSET('Smelter Reference List'!$D$4,$S1251-4,0)&amp;"")</f>
        <v/>
      </c>
      <c r="F1251" s="292" t="str">
        <f ca="1">IF(ISERROR($S1251),"",OFFSET('Smelter Reference List'!$E$4,$S1251-4,0))</f>
        <v/>
      </c>
      <c r="G1251" s="292" t="str">
        <f ca="1">IF(C1251=$U$4,"Enter smelter details", IF(ISERROR($S1251),"",OFFSET('Smelter Reference List'!$F$4,$S1251-4,0)))</f>
        <v/>
      </c>
      <c r="H1251" s="293" t="str">
        <f ca="1">IF(ISERROR($S1251),"",OFFSET('Smelter Reference List'!$G$4,$S1251-4,0))</f>
        <v/>
      </c>
      <c r="I1251" s="294" t="str">
        <f ca="1">IF(ISERROR($S1251),"",OFFSET('Smelter Reference List'!$H$4,$S1251-4,0))</f>
        <v/>
      </c>
      <c r="J1251" s="294" t="str">
        <f ca="1">IF(ISERROR($S1251),"",OFFSET('Smelter Reference List'!$I$4,$S1251-4,0))</f>
        <v/>
      </c>
      <c r="K1251" s="295"/>
      <c r="L1251" s="295"/>
      <c r="M1251" s="295"/>
      <c r="N1251" s="295"/>
      <c r="O1251" s="295"/>
      <c r="P1251" s="295"/>
      <c r="Q1251" s="296"/>
      <c r="R1251" s="227"/>
      <c r="S1251" s="228" t="e">
        <f>IF(C1251="",NA(),MATCH($B1251&amp;$C1251,'Smelter Reference List'!$J:$J,0))</f>
        <v>#N/A</v>
      </c>
      <c r="T1251" s="229"/>
      <c r="U1251" s="229">
        <f t="shared" ca="1" si="40"/>
        <v>0</v>
      </c>
      <c r="V1251" s="229"/>
      <c r="W1251" s="229"/>
      <c r="Y1251" s="223" t="str">
        <f t="shared" si="41"/>
        <v/>
      </c>
    </row>
    <row r="1252" spans="1:25" s="223" customFormat="1" ht="20.25">
      <c r="A1252" s="291"/>
      <c r="B1252" s="292" t="str">
        <f>IF(LEN(A1252)=0,"",INDEX('Smelter Reference List'!$A:$A,MATCH($A1252,'Smelter Reference List'!$E:$E,0)))</f>
        <v/>
      </c>
      <c r="C1252" s="298" t="str">
        <f>IF(LEN(A1252)=0,"",INDEX('Smelter Reference List'!$C:$C,MATCH($A1252,'Smelter Reference List'!$E:$E,0)))</f>
        <v/>
      </c>
      <c r="D1252" s="292" t="str">
        <f ca="1">IF(ISERROR($S1252),"",OFFSET('Smelter Reference List'!$C$4,$S1252-4,0)&amp;"")</f>
        <v/>
      </c>
      <c r="E1252" s="292" t="str">
        <f ca="1">IF(ISERROR($S1252),"",OFFSET('Smelter Reference List'!$D$4,$S1252-4,0)&amp;"")</f>
        <v/>
      </c>
      <c r="F1252" s="292" t="str">
        <f ca="1">IF(ISERROR($S1252),"",OFFSET('Smelter Reference List'!$E$4,$S1252-4,0))</f>
        <v/>
      </c>
      <c r="G1252" s="292" t="str">
        <f ca="1">IF(C1252=$U$4,"Enter smelter details", IF(ISERROR($S1252),"",OFFSET('Smelter Reference List'!$F$4,$S1252-4,0)))</f>
        <v/>
      </c>
      <c r="H1252" s="293" t="str">
        <f ca="1">IF(ISERROR($S1252),"",OFFSET('Smelter Reference List'!$G$4,$S1252-4,0))</f>
        <v/>
      </c>
      <c r="I1252" s="294" t="str">
        <f ca="1">IF(ISERROR($S1252),"",OFFSET('Smelter Reference List'!$H$4,$S1252-4,0))</f>
        <v/>
      </c>
      <c r="J1252" s="294" t="str">
        <f ca="1">IF(ISERROR($S1252),"",OFFSET('Smelter Reference List'!$I$4,$S1252-4,0))</f>
        <v/>
      </c>
      <c r="K1252" s="295"/>
      <c r="L1252" s="295"/>
      <c r="M1252" s="295"/>
      <c r="N1252" s="295"/>
      <c r="O1252" s="295"/>
      <c r="P1252" s="295"/>
      <c r="Q1252" s="296"/>
      <c r="R1252" s="227"/>
      <c r="S1252" s="228" t="e">
        <f>IF(C1252="",NA(),MATCH($B1252&amp;$C1252,'Smelter Reference List'!$J:$J,0))</f>
        <v>#N/A</v>
      </c>
      <c r="T1252" s="229"/>
      <c r="U1252" s="229">
        <f t="shared" ca="1" si="40"/>
        <v>0</v>
      </c>
      <c r="V1252" s="229"/>
      <c r="W1252" s="229"/>
      <c r="Y1252" s="223" t="str">
        <f t="shared" si="41"/>
        <v/>
      </c>
    </row>
    <row r="1253" spans="1:25" s="223" customFormat="1" ht="20.25">
      <c r="A1253" s="291"/>
      <c r="B1253" s="292" t="str">
        <f>IF(LEN(A1253)=0,"",INDEX('Smelter Reference List'!$A:$A,MATCH($A1253,'Smelter Reference List'!$E:$E,0)))</f>
        <v/>
      </c>
      <c r="C1253" s="298" t="str">
        <f>IF(LEN(A1253)=0,"",INDEX('Smelter Reference List'!$C:$C,MATCH($A1253,'Smelter Reference List'!$E:$E,0)))</f>
        <v/>
      </c>
      <c r="D1253" s="292" t="str">
        <f ca="1">IF(ISERROR($S1253),"",OFFSET('Smelter Reference List'!$C$4,$S1253-4,0)&amp;"")</f>
        <v/>
      </c>
      <c r="E1253" s="292" t="str">
        <f ca="1">IF(ISERROR($S1253),"",OFFSET('Smelter Reference List'!$D$4,$S1253-4,0)&amp;"")</f>
        <v/>
      </c>
      <c r="F1253" s="292" t="str">
        <f ca="1">IF(ISERROR($S1253),"",OFFSET('Smelter Reference List'!$E$4,$S1253-4,0))</f>
        <v/>
      </c>
      <c r="G1253" s="292" t="str">
        <f ca="1">IF(C1253=$U$4,"Enter smelter details", IF(ISERROR($S1253),"",OFFSET('Smelter Reference List'!$F$4,$S1253-4,0)))</f>
        <v/>
      </c>
      <c r="H1253" s="293" t="str">
        <f ca="1">IF(ISERROR($S1253),"",OFFSET('Smelter Reference List'!$G$4,$S1253-4,0))</f>
        <v/>
      </c>
      <c r="I1253" s="294" t="str">
        <f ca="1">IF(ISERROR($S1253),"",OFFSET('Smelter Reference List'!$H$4,$S1253-4,0))</f>
        <v/>
      </c>
      <c r="J1253" s="294" t="str">
        <f ca="1">IF(ISERROR($S1253),"",OFFSET('Smelter Reference List'!$I$4,$S1253-4,0))</f>
        <v/>
      </c>
      <c r="K1253" s="295"/>
      <c r="L1253" s="295"/>
      <c r="M1253" s="295"/>
      <c r="N1253" s="295"/>
      <c r="O1253" s="295"/>
      <c r="P1253" s="295"/>
      <c r="Q1253" s="296"/>
      <c r="R1253" s="227"/>
      <c r="S1253" s="228" t="e">
        <f>IF(C1253="",NA(),MATCH($B1253&amp;$C1253,'Smelter Reference List'!$J:$J,0))</f>
        <v>#N/A</v>
      </c>
      <c r="T1253" s="229"/>
      <c r="U1253" s="229">
        <f t="shared" ca="1" si="40"/>
        <v>0</v>
      </c>
      <c r="V1253" s="229"/>
      <c r="W1253" s="229"/>
      <c r="Y1253" s="223" t="str">
        <f t="shared" si="41"/>
        <v/>
      </c>
    </row>
    <row r="1254" spans="1:25" s="223" customFormat="1" ht="20.25">
      <c r="A1254" s="291"/>
      <c r="B1254" s="292" t="str">
        <f>IF(LEN(A1254)=0,"",INDEX('Smelter Reference List'!$A:$A,MATCH($A1254,'Smelter Reference List'!$E:$E,0)))</f>
        <v/>
      </c>
      <c r="C1254" s="298" t="str">
        <f>IF(LEN(A1254)=0,"",INDEX('Smelter Reference List'!$C:$C,MATCH($A1254,'Smelter Reference List'!$E:$E,0)))</f>
        <v/>
      </c>
      <c r="D1254" s="292" t="str">
        <f ca="1">IF(ISERROR($S1254),"",OFFSET('Smelter Reference List'!$C$4,$S1254-4,0)&amp;"")</f>
        <v/>
      </c>
      <c r="E1254" s="292" t="str">
        <f ca="1">IF(ISERROR($S1254),"",OFFSET('Smelter Reference List'!$D$4,$S1254-4,0)&amp;"")</f>
        <v/>
      </c>
      <c r="F1254" s="292" t="str">
        <f ca="1">IF(ISERROR($S1254),"",OFFSET('Smelter Reference List'!$E$4,$S1254-4,0))</f>
        <v/>
      </c>
      <c r="G1254" s="292" t="str">
        <f ca="1">IF(C1254=$U$4,"Enter smelter details", IF(ISERROR($S1254),"",OFFSET('Smelter Reference List'!$F$4,$S1254-4,0)))</f>
        <v/>
      </c>
      <c r="H1254" s="293" t="str">
        <f ca="1">IF(ISERROR($S1254),"",OFFSET('Smelter Reference List'!$G$4,$S1254-4,0))</f>
        <v/>
      </c>
      <c r="I1254" s="294" t="str">
        <f ca="1">IF(ISERROR($S1254),"",OFFSET('Smelter Reference List'!$H$4,$S1254-4,0))</f>
        <v/>
      </c>
      <c r="J1254" s="294" t="str">
        <f ca="1">IF(ISERROR($S1254),"",OFFSET('Smelter Reference List'!$I$4,$S1254-4,0))</f>
        <v/>
      </c>
      <c r="K1254" s="295"/>
      <c r="L1254" s="295"/>
      <c r="M1254" s="295"/>
      <c r="N1254" s="295"/>
      <c r="O1254" s="295"/>
      <c r="P1254" s="295"/>
      <c r="Q1254" s="296"/>
      <c r="R1254" s="227"/>
      <c r="S1254" s="228" t="e">
        <f>IF(C1254="",NA(),MATCH($B1254&amp;$C1254,'Smelter Reference List'!$J:$J,0))</f>
        <v>#N/A</v>
      </c>
      <c r="T1254" s="229"/>
      <c r="U1254" s="229">
        <f t="shared" ca="1" si="40"/>
        <v>0</v>
      </c>
      <c r="V1254" s="229"/>
      <c r="W1254" s="229"/>
      <c r="Y1254" s="223" t="str">
        <f t="shared" si="41"/>
        <v/>
      </c>
    </row>
    <row r="1255" spans="1:25" s="223" customFormat="1" ht="20.25">
      <c r="A1255" s="291"/>
      <c r="B1255" s="292" t="str">
        <f>IF(LEN(A1255)=0,"",INDEX('Smelter Reference List'!$A:$A,MATCH($A1255,'Smelter Reference List'!$E:$E,0)))</f>
        <v/>
      </c>
      <c r="C1255" s="298" t="str">
        <f>IF(LEN(A1255)=0,"",INDEX('Smelter Reference List'!$C:$C,MATCH($A1255,'Smelter Reference List'!$E:$E,0)))</f>
        <v/>
      </c>
      <c r="D1255" s="292" t="str">
        <f ca="1">IF(ISERROR($S1255),"",OFFSET('Smelter Reference List'!$C$4,$S1255-4,0)&amp;"")</f>
        <v/>
      </c>
      <c r="E1255" s="292" t="str">
        <f ca="1">IF(ISERROR($S1255),"",OFFSET('Smelter Reference List'!$D$4,$S1255-4,0)&amp;"")</f>
        <v/>
      </c>
      <c r="F1255" s="292" t="str">
        <f ca="1">IF(ISERROR($S1255),"",OFFSET('Smelter Reference List'!$E$4,$S1255-4,0))</f>
        <v/>
      </c>
      <c r="G1255" s="292" t="str">
        <f ca="1">IF(C1255=$U$4,"Enter smelter details", IF(ISERROR($S1255),"",OFFSET('Smelter Reference List'!$F$4,$S1255-4,0)))</f>
        <v/>
      </c>
      <c r="H1255" s="293" t="str">
        <f ca="1">IF(ISERROR($S1255),"",OFFSET('Smelter Reference List'!$G$4,$S1255-4,0))</f>
        <v/>
      </c>
      <c r="I1255" s="294" t="str">
        <f ca="1">IF(ISERROR($S1255),"",OFFSET('Smelter Reference List'!$H$4,$S1255-4,0))</f>
        <v/>
      </c>
      <c r="J1255" s="294" t="str">
        <f ca="1">IF(ISERROR($S1255),"",OFFSET('Smelter Reference List'!$I$4,$S1255-4,0))</f>
        <v/>
      </c>
      <c r="K1255" s="295"/>
      <c r="L1255" s="295"/>
      <c r="M1255" s="295"/>
      <c r="N1255" s="295"/>
      <c r="O1255" s="295"/>
      <c r="P1255" s="295"/>
      <c r="Q1255" s="296"/>
      <c r="R1255" s="227"/>
      <c r="S1255" s="228" t="e">
        <f>IF(C1255="",NA(),MATCH($B1255&amp;$C1255,'Smelter Reference List'!$J:$J,0))</f>
        <v>#N/A</v>
      </c>
      <c r="T1255" s="229"/>
      <c r="U1255" s="229">
        <f t="shared" ca="1" si="40"/>
        <v>0</v>
      </c>
      <c r="V1255" s="229"/>
      <c r="W1255" s="229"/>
      <c r="Y1255" s="223" t="str">
        <f t="shared" si="41"/>
        <v/>
      </c>
    </row>
    <row r="1256" spans="1:25" s="223" customFormat="1" ht="20.25">
      <c r="A1256" s="291"/>
      <c r="B1256" s="292" t="str">
        <f>IF(LEN(A1256)=0,"",INDEX('Smelter Reference List'!$A:$A,MATCH($A1256,'Smelter Reference List'!$E:$E,0)))</f>
        <v/>
      </c>
      <c r="C1256" s="298" t="str">
        <f>IF(LEN(A1256)=0,"",INDEX('Smelter Reference List'!$C:$C,MATCH($A1256,'Smelter Reference List'!$E:$E,0)))</f>
        <v/>
      </c>
      <c r="D1256" s="292" t="str">
        <f ca="1">IF(ISERROR($S1256),"",OFFSET('Smelter Reference List'!$C$4,$S1256-4,0)&amp;"")</f>
        <v/>
      </c>
      <c r="E1256" s="292" t="str">
        <f ca="1">IF(ISERROR($S1256),"",OFFSET('Smelter Reference List'!$D$4,$S1256-4,0)&amp;"")</f>
        <v/>
      </c>
      <c r="F1256" s="292" t="str">
        <f ca="1">IF(ISERROR($S1256),"",OFFSET('Smelter Reference List'!$E$4,$S1256-4,0))</f>
        <v/>
      </c>
      <c r="G1256" s="292" t="str">
        <f ca="1">IF(C1256=$U$4,"Enter smelter details", IF(ISERROR($S1256),"",OFFSET('Smelter Reference List'!$F$4,$S1256-4,0)))</f>
        <v/>
      </c>
      <c r="H1256" s="293" t="str">
        <f ca="1">IF(ISERROR($S1256),"",OFFSET('Smelter Reference List'!$G$4,$S1256-4,0))</f>
        <v/>
      </c>
      <c r="I1256" s="294" t="str">
        <f ca="1">IF(ISERROR($S1256),"",OFFSET('Smelter Reference List'!$H$4,$S1256-4,0))</f>
        <v/>
      </c>
      <c r="J1256" s="294" t="str">
        <f ca="1">IF(ISERROR($S1256),"",OFFSET('Smelter Reference List'!$I$4,$S1256-4,0))</f>
        <v/>
      </c>
      <c r="K1256" s="295"/>
      <c r="L1256" s="295"/>
      <c r="M1256" s="295"/>
      <c r="N1256" s="295"/>
      <c r="O1256" s="295"/>
      <c r="P1256" s="295"/>
      <c r="Q1256" s="296"/>
      <c r="R1256" s="227"/>
      <c r="S1256" s="228" t="e">
        <f>IF(C1256="",NA(),MATCH($B1256&amp;$C1256,'Smelter Reference List'!$J:$J,0))</f>
        <v>#N/A</v>
      </c>
      <c r="T1256" s="229"/>
      <c r="U1256" s="229">
        <f t="shared" ca="1" si="40"/>
        <v>0</v>
      </c>
      <c r="V1256" s="229"/>
      <c r="W1256" s="229"/>
      <c r="Y1256" s="223" t="str">
        <f t="shared" si="41"/>
        <v/>
      </c>
    </row>
    <row r="1257" spans="1:25" s="223" customFormat="1" ht="20.25">
      <c r="A1257" s="291"/>
      <c r="B1257" s="292" t="str">
        <f>IF(LEN(A1257)=0,"",INDEX('Smelter Reference List'!$A:$A,MATCH($A1257,'Smelter Reference List'!$E:$E,0)))</f>
        <v/>
      </c>
      <c r="C1257" s="298" t="str">
        <f>IF(LEN(A1257)=0,"",INDEX('Smelter Reference List'!$C:$C,MATCH($A1257,'Smelter Reference List'!$E:$E,0)))</f>
        <v/>
      </c>
      <c r="D1257" s="292" t="str">
        <f ca="1">IF(ISERROR($S1257),"",OFFSET('Smelter Reference List'!$C$4,$S1257-4,0)&amp;"")</f>
        <v/>
      </c>
      <c r="E1257" s="292" t="str">
        <f ca="1">IF(ISERROR($S1257),"",OFFSET('Smelter Reference List'!$D$4,$S1257-4,0)&amp;"")</f>
        <v/>
      </c>
      <c r="F1257" s="292" t="str">
        <f ca="1">IF(ISERROR($S1257),"",OFFSET('Smelter Reference List'!$E$4,$S1257-4,0))</f>
        <v/>
      </c>
      <c r="G1257" s="292" t="str">
        <f ca="1">IF(C1257=$U$4,"Enter smelter details", IF(ISERROR($S1257),"",OFFSET('Smelter Reference List'!$F$4,$S1257-4,0)))</f>
        <v/>
      </c>
      <c r="H1257" s="293" t="str">
        <f ca="1">IF(ISERROR($S1257),"",OFFSET('Smelter Reference List'!$G$4,$S1257-4,0))</f>
        <v/>
      </c>
      <c r="I1257" s="294" t="str">
        <f ca="1">IF(ISERROR($S1257),"",OFFSET('Smelter Reference List'!$H$4,$S1257-4,0))</f>
        <v/>
      </c>
      <c r="J1257" s="294" t="str">
        <f ca="1">IF(ISERROR($S1257),"",OFFSET('Smelter Reference List'!$I$4,$S1257-4,0))</f>
        <v/>
      </c>
      <c r="K1257" s="295"/>
      <c r="L1257" s="295"/>
      <c r="M1257" s="295"/>
      <c r="N1257" s="295"/>
      <c r="O1257" s="295"/>
      <c r="P1257" s="295"/>
      <c r="Q1257" s="296"/>
      <c r="R1257" s="227"/>
      <c r="S1257" s="228" t="e">
        <f>IF(C1257="",NA(),MATCH($B1257&amp;$C1257,'Smelter Reference List'!$J:$J,0))</f>
        <v>#N/A</v>
      </c>
      <c r="T1257" s="229"/>
      <c r="U1257" s="229">
        <f t="shared" ca="1" si="40"/>
        <v>0</v>
      </c>
      <c r="V1257" s="229"/>
      <c r="W1257" s="229"/>
      <c r="Y1257" s="223" t="str">
        <f t="shared" si="41"/>
        <v/>
      </c>
    </row>
    <row r="1258" spans="1:25" s="223" customFormat="1" ht="20.25">
      <c r="A1258" s="291"/>
      <c r="B1258" s="292" t="str">
        <f>IF(LEN(A1258)=0,"",INDEX('Smelter Reference List'!$A:$A,MATCH($A1258,'Smelter Reference List'!$E:$E,0)))</f>
        <v/>
      </c>
      <c r="C1258" s="298" t="str">
        <f>IF(LEN(A1258)=0,"",INDEX('Smelter Reference List'!$C:$C,MATCH($A1258,'Smelter Reference List'!$E:$E,0)))</f>
        <v/>
      </c>
      <c r="D1258" s="292" t="str">
        <f ca="1">IF(ISERROR($S1258),"",OFFSET('Smelter Reference List'!$C$4,$S1258-4,0)&amp;"")</f>
        <v/>
      </c>
      <c r="E1258" s="292" t="str">
        <f ca="1">IF(ISERROR($S1258),"",OFFSET('Smelter Reference List'!$D$4,$S1258-4,0)&amp;"")</f>
        <v/>
      </c>
      <c r="F1258" s="292" t="str">
        <f ca="1">IF(ISERROR($S1258),"",OFFSET('Smelter Reference List'!$E$4,$S1258-4,0))</f>
        <v/>
      </c>
      <c r="G1258" s="292" t="str">
        <f ca="1">IF(C1258=$U$4,"Enter smelter details", IF(ISERROR($S1258),"",OFFSET('Smelter Reference List'!$F$4,$S1258-4,0)))</f>
        <v/>
      </c>
      <c r="H1258" s="293" t="str">
        <f ca="1">IF(ISERROR($S1258),"",OFFSET('Smelter Reference List'!$G$4,$S1258-4,0))</f>
        <v/>
      </c>
      <c r="I1258" s="294" t="str">
        <f ca="1">IF(ISERROR($S1258),"",OFFSET('Smelter Reference List'!$H$4,$S1258-4,0))</f>
        <v/>
      </c>
      <c r="J1258" s="294" t="str">
        <f ca="1">IF(ISERROR($S1258),"",OFFSET('Smelter Reference List'!$I$4,$S1258-4,0))</f>
        <v/>
      </c>
      <c r="K1258" s="295"/>
      <c r="L1258" s="295"/>
      <c r="M1258" s="295"/>
      <c r="N1258" s="295"/>
      <c r="O1258" s="295"/>
      <c r="P1258" s="295"/>
      <c r="Q1258" s="296"/>
      <c r="R1258" s="227"/>
      <c r="S1258" s="228" t="e">
        <f>IF(C1258="",NA(),MATCH($B1258&amp;$C1258,'Smelter Reference List'!$J:$J,0))</f>
        <v>#N/A</v>
      </c>
      <c r="T1258" s="229"/>
      <c r="U1258" s="229">
        <f t="shared" ca="1" si="40"/>
        <v>0</v>
      </c>
      <c r="V1258" s="229"/>
      <c r="W1258" s="229"/>
      <c r="Y1258" s="223" t="str">
        <f t="shared" si="41"/>
        <v/>
      </c>
    </row>
    <row r="1259" spans="1:25" s="223" customFormat="1" ht="20.25">
      <c r="A1259" s="291"/>
      <c r="B1259" s="292" t="str">
        <f>IF(LEN(A1259)=0,"",INDEX('Smelter Reference List'!$A:$A,MATCH($A1259,'Smelter Reference List'!$E:$E,0)))</f>
        <v/>
      </c>
      <c r="C1259" s="298" t="str">
        <f>IF(LEN(A1259)=0,"",INDEX('Smelter Reference List'!$C:$C,MATCH($A1259,'Smelter Reference List'!$E:$E,0)))</f>
        <v/>
      </c>
      <c r="D1259" s="292" t="str">
        <f ca="1">IF(ISERROR($S1259),"",OFFSET('Smelter Reference List'!$C$4,$S1259-4,0)&amp;"")</f>
        <v/>
      </c>
      <c r="E1259" s="292" t="str">
        <f ca="1">IF(ISERROR($S1259),"",OFFSET('Smelter Reference List'!$D$4,$S1259-4,0)&amp;"")</f>
        <v/>
      </c>
      <c r="F1259" s="292" t="str">
        <f ca="1">IF(ISERROR($S1259),"",OFFSET('Smelter Reference List'!$E$4,$S1259-4,0))</f>
        <v/>
      </c>
      <c r="G1259" s="292" t="str">
        <f ca="1">IF(C1259=$U$4,"Enter smelter details", IF(ISERROR($S1259),"",OFFSET('Smelter Reference List'!$F$4,$S1259-4,0)))</f>
        <v/>
      </c>
      <c r="H1259" s="293" t="str">
        <f ca="1">IF(ISERROR($S1259),"",OFFSET('Smelter Reference List'!$G$4,$S1259-4,0))</f>
        <v/>
      </c>
      <c r="I1259" s="294" t="str">
        <f ca="1">IF(ISERROR($S1259),"",OFFSET('Smelter Reference List'!$H$4,$S1259-4,0))</f>
        <v/>
      </c>
      <c r="J1259" s="294" t="str">
        <f ca="1">IF(ISERROR($S1259),"",OFFSET('Smelter Reference List'!$I$4,$S1259-4,0))</f>
        <v/>
      </c>
      <c r="K1259" s="295"/>
      <c r="L1259" s="295"/>
      <c r="M1259" s="295"/>
      <c r="N1259" s="295"/>
      <c r="O1259" s="295"/>
      <c r="P1259" s="295"/>
      <c r="Q1259" s="296"/>
      <c r="R1259" s="227"/>
      <c r="S1259" s="228" t="e">
        <f>IF(C1259="",NA(),MATCH($B1259&amp;$C1259,'Smelter Reference List'!$J:$J,0))</f>
        <v>#N/A</v>
      </c>
      <c r="T1259" s="229"/>
      <c r="U1259" s="229">
        <f t="shared" ca="1" si="40"/>
        <v>0</v>
      </c>
      <c r="V1259" s="229"/>
      <c r="W1259" s="229"/>
      <c r="Y1259" s="223" t="str">
        <f t="shared" si="41"/>
        <v/>
      </c>
    </row>
    <row r="1260" spans="1:25" s="223" customFormat="1" ht="20.25">
      <c r="A1260" s="291"/>
      <c r="B1260" s="292" t="str">
        <f>IF(LEN(A1260)=0,"",INDEX('Smelter Reference List'!$A:$A,MATCH($A1260,'Smelter Reference List'!$E:$E,0)))</f>
        <v/>
      </c>
      <c r="C1260" s="298" t="str">
        <f>IF(LEN(A1260)=0,"",INDEX('Smelter Reference List'!$C:$C,MATCH($A1260,'Smelter Reference List'!$E:$E,0)))</f>
        <v/>
      </c>
      <c r="D1260" s="292" t="str">
        <f ca="1">IF(ISERROR($S1260),"",OFFSET('Smelter Reference List'!$C$4,$S1260-4,0)&amp;"")</f>
        <v/>
      </c>
      <c r="E1260" s="292" t="str">
        <f ca="1">IF(ISERROR($S1260),"",OFFSET('Smelter Reference List'!$D$4,$S1260-4,0)&amp;"")</f>
        <v/>
      </c>
      <c r="F1260" s="292" t="str">
        <f ca="1">IF(ISERROR($S1260),"",OFFSET('Smelter Reference List'!$E$4,$S1260-4,0))</f>
        <v/>
      </c>
      <c r="G1260" s="292" t="str">
        <f ca="1">IF(C1260=$U$4,"Enter smelter details", IF(ISERROR($S1260),"",OFFSET('Smelter Reference List'!$F$4,$S1260-4,0)))</f>
        <v/>
      </c>
      <c r="H1260" s="293" t="str">
        <f ca="1">IF(ISERROR($S1260),"",OFFSET('Smelter Reference List'!$G$4,$S1260-4,0))</f>
        <v/>
      </c>
      <c r="I1260" s="294" t="str">
        <f ca="1">IF(ISERROR($S1260),"",OFFSET('Smelter Reference List'!$H$4,$S1260-4,0))</f>
        <v/>
      </c>
      <c r="J1260" s="294" t="str">
        <f ca="1">IF(ISERROR($S1260),"",OFFSET('Smelter Reference List'!$I$4,$S1260-4,0))</f>
        <v/>
      </c>
      <c r="K1260" s="295"/>
      <c r="L1260" s="295"/>
      <c r="M1260" s="295"/>
      <c r="N1260" s="295"/>
      <c r="O1260" s="295"/>
      <c r="P1260" s="295"/>
      <c r="Q1260" s="296"/>
      <c r="R1260" s="227"/>
      <c r="S1260" s="228" t="e">
        <f>IF(C1260="",NA(),MATCH($B1260&amp;$C1260,'Smelter Reference List'!$J:$J,0))</f>
        <v>#N/A</v>
      </c>
      <c r="T1260" s="229"/>
      <c r="U1260" s="229">
        <f t="shared" ca="1" si="40"/>
        <v>0</v>
      </c>
      <c r="V1260" s="229"/>
      <c r="W1260" s="229"/>
      <c r="Y1260" s="223" t="str">
        <f t="shared" si="41"/>
        <v/>
      </c>
    </row>
    <row r="1261" spans="1:25" s="223" customFormat="1" ht="20.25">
      <c r="A1261" s="291"/>
      <c r="B1261" s="292" t="str">
        <f>IF(LEN(A1261)=0,"",INDEX('Smelter Reference List'!$A:$A,MATCH($A1261,'Smelter Reference List'!$E:$E,0)))</f>
        <v/>
      </c>
      <c r="C1261" s="298" t="str">
        <f>IF(LEN(A1261)=0,"",INDEX('Smelter Reference List'!$C:$C,MATCH($A1261,'Smelter Reference List'!$E:$E,0)))</f>
        <v/>
      </c>
      <c r="D1261" s="292" t="str">
        <f ca="1">IF(ISERROR($S1261),"",OFFSET('Smelter Reference List'!$C$4,$S1261-4,0)&amp;"")</f>
        <v/>
      </c>
      <c r="E1261" s="292" t="str">
        <f ca="1">IF(ISERROR($S1261),"",OFFSET('Smelter Reference List'!$D$4,$S1261-4,0)&amp;"")</f>
        <v/>
      </c>
      <c r="F1261" s="292" t="str">
        <f ca="1">IF(ISERROR($S1261),"",OFFSET('Smelter Reference List'!$E$4,$S1261-4,0))</f>
        <v/>
      </c>
      <c r="G1261" s="292" t="str">
        <f ca="1">IF(C1261=$U$4,"Enter smelter details", IF(ISERROR($S1261),"",OFFSET('Smelter Reference List'!$F$4,$S1261-4,0)))</f>
        <v/>
      </c>
      <c r="H1261" s="293" t="str">
        <f ca="1">IF(ISERROR($S1261),"",OFFSET('Smelter Reference List'!$G$4,$S1261-4,0))</f>
        <v/>
      </c>
      <c r="I1261" s="294" t="str">
        <f ca="1">IF(ISERROR($S1261),"",OFFSET('Smelter Reference List'!$H$4,$S1261-4,0))</f>
        <v/>
      </c>
      <c r="J1261" s="294" t="str">
        <f ca="1">IF(ISERROR($S1261),"",OFFSET('Smelter Reference List'!$I$4,$S1261-4,0))</f>
        <v/>
      </c>
      <c r="K1261" s="295"/>
      <c r="L1261" s="295"/>
      <c r="M1261" s="295"/>
      <c r="N1261" s="295"/>
      <c r="O1261" s="295"/>
      <c r="P1261" s="295"/>
      <c r="Q1261" s="296"/>
      <c r="R1261" s="227"/>
      <c r="S1261" s="228" t="e">
        <f>IF(C1261="",NA(),MATCH($B1261&amp;$C1261,'Smelter Reference List'!$J:$J,0))</f>
        <v>#N/A</v>
      </c>
      <c r="T1261" s="229"/>
      <c r="U1261" s="229">
        <f t="shared" ca="1" si="40"/>
        <v>0</v>
      </c>
      <c r="V1261" s="229"/>
      <c r="W1261" s="229"/>
      <c r="Y1261" s="223" t="str">
        <f t="shared" si="41"/>
        <v/>
      </c>
    </row>
    <row r="1262" spans="1:25" s="223" customFormat="1" ht="20.25">
      <c r="A1262" s="291"/>
      <c r="B1262" s="292" t="str">
        <f>IF(LEN(A1262)=0,"",INDEX('Smelter Reference List'!$A:$A,MATCH($A1262,'Smelter Reference List'!$E:$E,0)))</f>
        <v/>
      </c>
      <c r="C1262" s="298" t="str">
        <f>IF(LEN(A1262)=0,"",INDEX('Smelter Reference List'!$C:$C,MATCH($A1262,'Smelter Reference List'!$E:$E,0)))</f>
        <v/>
      </c>
      <c r="D1262" s="292" t="str">
        <f ca="1">IF(ISERROR($S1262),"",OFFSET('Smelter Reference List'!$C$4,$S1262-4,0)&amp;"")</f>
        <v/>
      </c>
      <c r="E1262" s="292" t="str">
        <f ca="1">IF(ISERROR($S1262),"",OFFSET('Smelter Reference List'!$D$4,$S1262-4,0)&amp;"")</f>
        <v/>
      </c>
      <c r="F1262" s="292" t="str">
        <f ca="1">IF(ISERROR($S1262),"",OFFSET('Smelter Reference List'!$E$4,$S1262-4,0))</f>
        <v/>
      </c>
      <c r="G1262" s="292" t="str">
        <f ca="1">IF(C1262=$U$4,"Enter smelter details", IF(ISERROR($S1262),"",OFFSET('Smelter Reference List'!$F$4,$S1262-4,0)))</f>
        <v/>
      </c>
      <c r="H1262" s="293" t="str">
        <f ca="1">IF(ISERROR($S1262),"",OFFSET('Smelter Reference List'!$G$4,$S1262-4,0))</f>
        <v/>
      </c>
      <c r="I1262" s="294" t="str">
        <f ca="1">IF(ISERROR($S1262),"",OFFSET('Smelter Reference List'!$H$4,$S1262-4,0))</f>
        <v/>
      </c>
      <c r="J1262" s="294" t="str">
        <f ca="1">IF(ISERROR($S1262),"",OFFSET('Smelter Reference List'!$I$4,$S1262-4,0))</f>
        <v/>
      </c>
      <c r="K1262" s="295"/>
      <c r="L1262" s="295"/>
      <c r="M1262" s="295"/>
      <c r="N1262" s="295"/>
      <c r="O1262" s="295"/>
      <c r="P1262" s="295"/>
      <c r="Q1262" s="296"/>
      <c r="R1262" s="227"/>
      <c r="S1262" s="228" t="e">
        <f>IF(C1262="",NA(),MATCH($B1262&amp;$C1262,'Smelter Reference List'!$J:$J,0))</f>
        <v>#N/A</v>
      </c>
      <c r="T1262" s="229"/>
      <c r="U1262" s="229">
        <f t="shared" ca="1" si="40"/>
        <v>0</v>
      </c>
      <c r="V1262" s="229"/>
      <c r="W1262" s="229"/>
      <c r="Y1262" s="223" t="str">
        <f t="shared" si="41"/>
        <v/>
      </c>
    </row>
    <row r="1263" spans="1:25" s="223" customFormat="1" ht="20.25">
      <c r="A1263" s="291"/>
      <c r="B1263" s="292" t="str">
        <f>IF(LEN(A1263)=0,"",INDEX('Smelter Reference List'!$A:$A,MATCH($A1263,'Smelter Reference List'!$E:$E,0)))</f>
        <v/>
      </c>
      <c r="C1263" s="298" t="str">
        <f>IF(LEN(A1263)=0,"",INDEX('Smelter Reference List'!$C:$C,MATCH($A1263,'Smelter Reference List'!$E:$E,0)))</f>
        <v/>
      </c>
      <c r="D1263" s="292" t="str">
        <f ca="1">IF(ISERROR($S1263),"",OFFSET('Smelter Reference List'!$C$4,$S1263-4,0)&amp;"")</f>
        <v/>
      </c>
      <c r="E1263" s="292" t="str">
        <f ca="1">IF(ISERROR($S1263),"",OFFSET('Smelter Reference List'!$D$4,$S1263-4,0)&amp;"")</f>
        <v/>
      </c>
      <c r="F1263" s="292" t="str">
        <f ca="1">IF(ISERROR($S1263),"",OFFSET('Smelter Reference List'!$E$4,$S1263-4,0))</f>
        <v/>
      </c>
      <c r="G1263" s="292" t="str">
        <f ca="1">IF(C1263=$U$4,"Enter smelter details", IF(ISERROR($S1263),"",OFFSET('Smelter Reference List'!$F$4,$S1263-4,0)))</f>
        <v/>
      </c>
      <c r="H1263" s="293" t="str">
        <f ca="1">IF(ISERROR($S1263),"",OFFSET('Smelter Reference List'!$G$4,$S1263-4,0))</f>
        <v/>
      </c>
      <c r="I1263" s="294" t="str">
        <f ca="1">IF(ISERROR($S1263),"",OFFSET('Smelter Reference List'!$H$4,$S1263-4,0))</f>
        <v/>
      </c>
      <c r="J1263" s="294" t="str">
        <f ca="1">IF(ISERROR($S1263),"",OFFSET('Smelter Reference List'!$I$4,$S1263-4,0))</f>
        <v/>
      </c>
      <c r="K1263" s="295"/>
      <c r="L1263" s="295"/>
      <c r="M1263" s="295"/>
      <c r="N1263" s="295"/>
      <c r="O1263" s="295"/>
      <c r="P1263" s="295"/>
      <c r="Q1263" s="296"/>
      <c r="R1263" s="227"/>
      <c r="S1263" s="228" t="e">
        <f>IF(C1263="",NA(),MATCH($B1263&amp;$C1263,'Smelter Reference List'!$J:$J,0))</f>
        <v>#N/A</v>
      </c>
      <c r="T1263" s="229"/>
      <c r="U1263" s="229">
        <f t="shared" ca="1" si="40"/>
        <v>0</v>
      </c>
      <c r="V1263" s="229"/>
      <c r="W1263" s="229"/>
      <c r="Y1263" s="223" t="str">
        <f t="shared" si="41"/>
        <v/>
      </c>
    </row>
    <row r="1264" spans="1:25" s="223" customFormat="1" ht="20.25">
      <c r="A1264" s="291"/>
      <c r="B1264" s="292" t="str">
        <f>IF(LEN(A1264)=0,"",INDEX('Smelter Reference List'!$A:$A,MATCH($A1264,'Smelter Reference List'!$E:$E,0)))</f>
        <v/>
      </c>
      <c r="C1264" s="298" t="str">
        <f>IF(LEN(A1264)=0,"",INDEX('Smelter Reference List'!$C:$C,MATCH($A1264,'Smelter Reference List'!$E:$E,0)))</f>
        <v/>
      </c>
      <c r="D1264" s="292" t="str">
        <f ca="1">IF(ISERROR($S1264),"",OFFSET('Smelter Reference List'!$C$4,$S1264-4,0)&amp;"")</f>
        <v/>
      </c>
      <c r="E1264" s="292" t="str">
        <f ca="1">IF(ISERROR($S1264),"",OFFSET('Smelter Reference List'!$D$4,$S1264-4,0)&amp;"")</f>
        <v/>
      </c>
      <c r="F1264" s="292" t="str">
        <f ca="1">IF(ISERROR($S1264),"",OFFSET('Smelter Reference List'!$E$4,$S1264-4,0))</f>
        <v/>
      </c>
      <c r="G1264" s="292" t="str">
        <f ca="1">IF(C1264=$U$4,"Enter smelter details", IF(ISERROR($S1264),"",OFFSET('Smelter Reference List'!$F$4,$S1264-4,0)))</f>
        <v/>
      </c>
      <c r="H1264" s="293" t="str">
        <f ca="1">IF(ISERROR($S1264),"",OFFSET('Smelter Reference List'!$G$4,$S1264-4,0))</f>
        <v/>
      </c>
      <c r="I1264" s="294" t="str">
        <f ca="1">IF(ISERROR($S1264),"",OFFSET('Smelter Reference List'!$H$4,$S1264-4,0))</f>
        <v/>
      </c>
      <c r="J1264" s="294" t="str">
        <f ca="1">IF(ISERROR($S1264),"",OFFSET('Smelter Reference List'!$I$4,$S1264-4,0))</f>
        <v/>
      </c>
      <c r="K1264" s="295"/>
      <c r="L1264" s="295"/>
      <c r="M1264" s="295"/>
      <c r="N1264" s="295"/>
      <c r="O1264" s="295"/>
      <c r="P1264" s="295"/>
      <c r="Q1264" s="296"/>
      <c r="R1264" s="227"/>
      <c r="S1264" s="228" t="e">
        <f>IF(C1264="",NA(),MATCH($B1264&amp;$C1264,'Smelter Reference List'!$J:$J,0))</f>
        <v>#N/A</v>
      </c>
      <c r="T1264" s="229"/>
      <c r="U1264" s="229">
        <f t="shared" ca="1" si="40"/>
        <v>0</v>
      </c>
      <c r="V1264" s="229"/>
      <c r="W1264" s="229"/>
      <c r="Y1264" s="223" t="str">
        <f t="shared" si="41"/>
        <v/>
      </c>
    </row>
    <row r="1265" spans="1:25" s="223" customFormat="1" ht="20.25">
      <c r="A1265" s="291"/>
      <c r="B1265" s="292" t="str">
        <f>IF(LEN(A1265)=0,"",INDEX('Smelter Reference List'!$A:$A,MATCH($A1265,'Smelter Reference List'!$E:$E,0)))</f>
        <v/>
      </c>
      <c r="C1265" s="298" t="str">
        <f>IF(LEN(A1265)=0,"",INDEX('Smelter Reference List'!$C:$C,MATCH($A1265,'Smelter Reference List'!$E:$E,0)))</f>
        <v/>
      </c>
      <c r="D1265" s="292" t="str">
        <f ca="1">IF(ISERROR($S1265),"",OFFSET('Smelter Reference List'!$C$4,$S1265-4,0)&amp;"")</f>
        <v/>
      </c>
      <c r="E1265" s="292" t="str">
        <f ca="1">IF(ISERROR($S1265),"",OFFSET('Smelter Reference List'!$D$4,$S1265-4,0)&amp;"")</f>
        <v/>
      </c>
      <c r="F1265" s="292" t="str">
        <f ca="1">IF(ISERROR($S1265),"",OFFSET('Smelter Reference List'!$E$4,$S1265-4,0))</f>
        <v/>
      </c>
      <c r="G1265" s="292" t="str">
        <f ca="1">IF(C1265=$U$4,"Enter smelter details", IF(ISERROR($S1265),"",OFFSET('Smelter Reference List'!$F$4,$S1265-4,0)))</f>
        <v/>
      </c>
      <c r="H1265" s="293" t="str">
        <f ca="1">IF(ISERROR($S1265),"",OFFSET('Smelter Reference List'!$G$4,$S1265-4,0))</f>
        <v/>
      </c>
      <c r="I1265" s="294" t="str">
        <f ca="1">IF(ISERROR($S1265),"",OFFSET('Smelter Reference List'!$H$4,$S1265-4,0))</f>
        <v/>
      </c>
      <c r="J1265" s="294" t="str">
        <f ca="1">IF(ISERROR($S1265),"",OFFSET('Smelter Reference List'!$I$4,$S1265-4,0))</f>
        <v/>
      </c>
      <c r="K1265" s="295"/>
      <c r="L1265" s="295"/>
      <c r="M1265" s="295"/>
      <c r="N1265" s="295"/>
      <c r="O1265" s="295"/>
      <c r="P1265" s="295"/>
      <c r="Q1265" s="296"/>
      <c r="R1265" s="227"/>
      <c r="S1265" s="228" t="e">
        <f>IF(C1265="",NA(),MATCH($B1265&amp;$C1265,'Smelter Reference List'!$J:$J,0))</f>
        <v>#N/A</v>
      </c>
      <c r="T1265" s="229"/>
      <c r="U1265" s="229">
        <f t="shared" ca="1" si="40"/>
        <v>0</v>
      </c>
      <c r="V1265" s="229"/>
      <c r="W1265" s="229"/>
      <c r="Y1265" s="223" t="str">
        <f t="shared" si="41"/>
        <v/>
      </c>
    </row>
    <row r="1266" spans="1:25" s="223" customFormat="1" ht="20.25">
      <c r="A1266" s="291"/>
      <c r="B1266" s="292" t="str">
        <f>IF(LEN(A1266)=0,"",INDEX('Smelter Reference List'!$A:$A,MATCH($A1266,'Smelter Reference List'!$E:$E,0)))</f>
        <v/>
      </c>
      <c r="C1266" s="298" t="str">
        <f>IF(LEN(A1266)=0,"",INDEX('Smelter Reference List'!$C:$C,MATCH($A1266,'Smelter Reference List'!$E:$E,0)))</f>
        <v/>
      </c>
      <c r="D1266" s="292" t="str">
        <f ca="1">IF(ISERROR($S1266),"",OFFSET('Smelter Reference List'!$C$4,$S1266-4,0)&amp;"")</f>
        <v/>
      </c>
      <c r="E1266" s="292" t="str">
        <f ca="1">IF(ISERROR($S1266),"",OFFSET('Smelter Reference List'!$D$4,$S1266-4,0)&amp;"")</f>
        <v/>
      </c>
      <c r="F1266" s="292" t="str">
        <f ca="1">IF(ISERROR($S1266),"",OFFSET('Smelter Reference List'!$E$4,$S1266-4,0))</f>
        <v/>
      </c>
      <c r="G1266" s="292" t="str">
        <f ca="1">IF(C1266=$U$4,"Enter smelter details", IF(ISERROR($S1266),"",OFFSET('Smelter Reference List'!$F$4,$S1266-4,0)))</f>
        <v/>
      </c>
      <c r="H1266" s="293" t="str">
        <f ca="1">IF(ISERROR($S1266),"",OFFSET('Smelter Reference List'!$G$4,$S1266-4,0))</f>
        <v/>
      </c>
      <c r="I1266" s="294" t="str">
        <f ca="1">IF(ISERROR($S1266),"",OFFSET('Smelter Reference List'!$H$4,$S1266-4,0))</f>
        <v/>
      </c>
      <c r="J1266" s="294" t="str">
        <f ca="1">IF(ISERROR($S1266),"",OFFSET('Smelter Reference List'!$I$4,$S1266-4,0))</f>
        <v/>
      </c>
      <c r="K1266" s="295"/>
      <c r="L1266" s="295"/>
      <c r="M1266" s="295"/>
      <c r="N1266" s="295"/>
      <c r="O1266" s="295"/>
      <c r="P1266" s="295"/>
      <c r="Q1266" s="296"/>
      <c r="R1266" s="227"/>
      <c r="S1266" s="228" t="e">
        <f>IF(C1266="",NA(),MATCH($B1266&amp;$C1266,'Smelter Reference List'!$J:$J,0))</f>
        <v>#N/A</v>
      </c>
      <c r="T1266" s="229"/>
      <c r="U1266" s="229">
        <f t="shared" ca="1" si="40"/>
        <v>0</v>
      </c>
      <c r="V1266" s="229"/>
      <c r="W1266" s="229"/>
      <c r="Y1266" s="223" t="str">
        <f t="shared" si="41"/>
        <v/>
      </c>
    </row>
    <row r="1267" spans="1:25" s="223" customFormat="1" ht="20.25">
      <c r="A1267" s="291"/>
      <c r="B1267" s="292" t="str">
        <f>IF(LEN(A1267)=0,"",INDEX('Smelter Reference List'!$A:$A,MATCH($A1267,'Smelter Reference List'!$E:$E,0)))</f>
        <v/>
      </c>
      <c r="C1267" s="298" t="str">
        <f>IF(LEN(A1267)=0,"",INDEX('Smelter Reference List'!$C:$C,MATCH($A1267,'Smelter Reference List'!$E:$E,0)))</f>
        <v/>
      </c>
      <c r="D1267" s="292" t="str">
        <f ca="1">IF(ISERROR($S1267),"",OFFSET('Smelter Reference List'!$C$4,$S1267-4,0)&amp;"")</f>
        <v/>
      </c>
      <c r="E1267" s="292" t="str">
        <f ca="1">IF(ISERROR($S1267),"",OFFSET('Smelter Reference List'!$D$4,$S1267-4,0)&amp;"")</f>
        <v/>
      </c>
      <c r="F1267" s="292" t="str">
        <f ca="1">IF(ISERROR($S1267),"",OFFSET('Smelter Reference List'!$E$4,$S1267-4,0))</f>
        <v/>
      </c>
      <c r="G1267" s="292" t="str">
        <f ca="1">IF(C1267=$U$4,"Enter smelter details", IF(ISERROR($S1267),"",OFFSET('Smelter Reference List'!$F$4,$S1267-4,0)))</f>
        <v/>
      </c>
      <c r="H1267" s="293" t="str">
        <f ca="1">IF(ISERROR($S1267),"",OFFSET('Smelter Reference List'!$G$4,$S1267-4,0))</f>
        <v/>
      </c>
      <c r="I1267" s="294" t="str">
        <f ca="1">IF(ISERROR($S1267),"",OFFSET('Smelter Reference List'!$H$4,$S1267-4,0))</f>
        <v/>
      </c>
      <c r="J1267" s="294" t="str">
        <f ca="1">IF(ISERROR($S1267),"",OFFSET('Smelter Reference List'!$I$4,$S1267-4,0))</f>
        <v/>
      </c>
      <c r="K1267" s="295"/>
      <c r="L1267" s="295"/>
      <c r="M1267" s="295"/>
      <c r="N1267" s="295"/>
      <c r="O1267" s="295"/>
      <c r="P1267" s="295"/>
      <c r="Q1267" s="296"/>
      <c r="R1267" s="227"/>
      <c r="S1267" s="228" t="e">
        <f>IF(C1267="",NA(),MATCH($B1267&amp;$C1267,'Smelter Reference List'!$J:$J,0))</f>
        <v>#N/A</v>
      </c>
      <c r="T1267" s="229"/>
      <c r="U1267" s="229">
        <f t="shared" ca="1" si="40"/>
        <v>0</v>
      </c>
      <c r="V1267" s="229"/>
      <c r="W1267" s="229"/>
      <c r="Y1267" s="223" t="str">
        <f t="shared" si="41"/>
        <v/>
      </c>
    </row>
    <row r="1268" spans="1:25" s="223" customFormat="1" ht="20.25">
      <c r="A1268" s="291"/>
      <c r="B1268" s="292" t="str">
        <f>IF(LEN(A1268)=0,"",INDEX('Smelter Reference List'!$A:$A,MATCH($A1268,'Smelter Reference List'!$E:$E,0)))</f>
        <v/>
      </c>
      <c r="C1268" s="298" t="str">
        <f>IF(LEN(A1268)=0,"",INDEX('Smelter Reference List'!$C:$C,MATCH($A1268,'Smelter Reference List'!$E:$E,0)))</f>
        <v/>
      </c>
      <c r="D1268" s="292" t="str">
        <f ca="1">IF(ISERROR($S1268),"",OFFSET('Smelter Reference List'!$C$4,$S1268-4,0)&amp;"")</f>
        <v/>
      </c>
      <c r="E1268" s="292" t="str">
        <f ca="1">IF(ISERROR($S1268),"",OFFSET('Smelter Reference List'!$D$4,$S1268-4,0)&amp;"")</f>
        <v/>
      </c>
      <c r="F1268" s="292" t="str">
        <f ca="1">IF(ISERROR($S1268),"",OFFSET('Smelter Reference List'!$E$4,$S1268-4,0))</f>
        <v/>
      </c>
      <c r="G1268" s="292" t="str">
        <f ca="1">IF(C1268=$U$4,"Enter smelter details", IF(ISERROR($S1268),"",OFFSET('Smelter Reference List'!$F$4,$S1268-4,0)))</f>
        <v/>
      </c>
      <c r="H1268" s="293" t="str">
        <f ca="1">IF(ISERROR($S1268),"",OFFSET('Smelter Reference List'!$G$4,$S1268-4,0))</f>
        <v/>
      </c>
      <c r="I1268" s="294" t="str">
        <f ca="1">IF(ISERROR($S1268),"",OFFSET('Smelter Reference List'!$H$4,$S1268-4,0))</f>
        <v/>
      </c>
      <c r="J1268" s="294" t="str">
        <f ca="1">IF(ISERROR($S1268),"",OFFSET('Smelter Reference List'!$I$4,$S1268-4,0))</f>
        <v/>
      </c>
      <c r="K1268" s="295"/>
      <c r="L1268" s="295"/>
      <c r="M1268" s="295"/>
      <c r="N1268" s="295"/>
      <c r="O1268" s="295"/>
      <c r="P1268" s="295"/>
      <c r="Q1268" s="296"/>
      <c r="R1268" s="227"/>
      <c r="S1268" s="228" t="e">
        <f>IF(C1268="",NA(),MATCH($B1268&amp;$C1268,'Smelter Reference List'!$J:$J,0))</f>
        <v>#N/A</v>
      </c>
      <c r="T1268" s="229"/>
      <c r="U1268" s="229">
        <f t="shared" ca="1" si="40"/>
        <v>0</v>
      </c>
      <c r="V1268" s="229"/>
      <c r="W1268" s="229"/>
      <c r="Y1268" s="223" t="str">
        <f t="shared" si="41"/>
        <v/>
      </c>
    </row>
    <row r="1269" spans="1:25" s="223" customFormat="1" ht="20.25">
      <c r="A1269" s="291"/>
      <c r="B1269" s="292" t="str">
        <f>IF(LEN(A1269)=0,"",INDEX('Smelter Reference List'!$A:$A,MATCH($A1269,'Smelter Reference List'!$E:$E,0)))</f>
        <v/>
      </c>
      <c r="C1269" s="298" t="str">
        <f>IF(LEN(A1269)=0,"",INDEX('Smelter Reference List'!$C:$C,MATCH($A1269,'Smelter Reference List'!$E:$E,0)))</f>
        <v/>
      </c>
      <c r="D1269" s="292" t="str">
        <f ca="1">IF(ISERROR($S1269),"",OFFSET('Smelter Reference List'!$C$4,$S1269-4,0)&amp;"")</f>
        <v/>
      </c>
      <c r="E1269" s="292" t="str">
        <f ca="1">IF(ISERROR($S1269),"",OFFSET('Smelter Reference List'!$D$4,$S1269-4,0)&amp;"")</f>
        <v/>
      </c>
      <c r="F1269" s="292" t="str">
        <f ca="1">IF(ISERROR($S1269),"",OFFSET('Smelter Reference List'!$E$4,$S1269-4,0))</f>
        <v/>
      </c>
      <c r="G1269" s="292" t="str">
        <f ca="1">IF(C1269=$U$4,"Enter smelter details", IF(ISERROR($S1269),"",OFFSET('Smelter Reference List'!$F$4,$S1269-4,0)))</f>
        <v/>
      </c>
      <c r="H1269" s="293" t="str">
        <f ca="1">IF(ISERROR($S1269),"",OFFSET('Smelter Reference List'!$G$4,$S1269-4,0))</f>
        <v/>
      </c>
      <c r="I1269" s="294" t="str">
        <f ca="1">IF(ISERROR($S1269),"",OFFSET('Smelter Reference List'!$H$4,$S1269-4,0))</f>
        <v/>
      </c>
      <c r="J1269" s="294" t="str">
        <f ca="1">IF(ISERROR($S1269),"",OFFSET('Smelter Reference List'!$I$4,$S1269-4,0))</f>
        <v/>
      </c>
      <c r="K1269" s="295"/>
      <c r="L1269" s="295"/>
      <c r="M1269" s="295"/>
      <c r="N1269" s="295"/>
      <c r="O1269" s="295"/>
      <c r="P1269" s="295"/>
      <c r="Q1269" s="296"/>
      <c r="R1269" s="227"/>
      <c r="S1269" s="228" t="e">
        <f>IF(C1269="",NA(),MATCH($B1269&amp;$C1269,'Smelter Reference List'!$J:$J,0))</f>
        <v>#N/A</v>
      </c>
      <c r="T1269" s="229"/>
      <c r="U1269" s="229">
        <f t="shared" ca="1" si="40"/>
        <v>0</v>
      </c>
      <c r="V1269" s="229"/>
      <c r="W1269" s="229"/>
      <c r="Y1269" s="223" t="str">
        <f t="shared" si="41"/>
        <v/>
      </c>
    </row>
    <row r="1270" spans="1:25" s="223" customFormat="1" ht="20.25">
      <c r="A1270" s="291"/>
      <c r="B1270" s="292" t="str">
        <f>IF(LEN(A1270)=0,"",INDEX('Smelter Reference List'!$A:$A,MATCH($A1270,'Smelter Reference List'!$E:$E,0)))</f>
        <v/>
      </c>
      <c r="C1270" s="298" t="str">
        <f>IF(LEN(A1270)=0,"",INDEX('Smelter Reference List'!$C:$C,MATCH($A1270,'Smelter Reference List'!$E:$E,0)))</f>
        <v/>
      </c>
      <c r="D1270" s="292" t="str">
        <f ca="1">IF(ISERROR($S1270),"",OFFSET('Smelter Reference List'!$C$4,$S1270-4,0)&amp;"")</f>
        <v/>
      </c>
      <c r="E1270" s="292" t="str">
        <f ca="1">IF(ISERROR($S1270),"",OFFSET('Smelter Reference List'!$D$4,$S1270-4,0)&amp;"")</f>
        <v/>
      </c>
      <c r="F1270" s="292" t="str">
        <f ca="1">IF(ISERROR($S1270),"",OFFSET('Smelter Reference List'!$E$4,$S1270-4,0))</f>
        <v/>
      </c>
      <c r="G1270" s="292" t="str">
        <f ca="1">IF(C1270=$U$4,"Enter smelter details", IF(ISERROR($S1270),"",OFFSET('Smelter Reference List'!$F$4,$S1270-4,0)))</f>
        <v/>
      </c>
      <c r="H1270" s="293" t="str">
        <f ca="1">IF(ISERROR($S1270),"",OFFSET('Smelter Reference List'!$G$4,$S1270-4,0))</f>
        <v/>
      </c>
      <c r="I1270" s="294" t="str">
        <f ca="1">IF(ISERROR($S1270),"",OFFSET('Smelter Reference List'!$H$4,$S1270-4,0))</f>
        <v/>
      </c>
      <c r="J1270" s="294" t="str">
        <f ca="1">IF(ISERROR($S1270),"",OFFSET('Smelter Reference List'!$I$4,$S1270-4,0))</f>
        <v/>
      </c>
      <c r="K1270" s="295"/>
      <c r="L1270" s="295"/>
      <c r="M1270" s="295"/>
      <c r="N1270" s="295"/>
      <c r="O1270" s="295"/>
      <c r="P1270" s="295"/>
      <c r="Q1270" s="296"/>
      <c r="R1270" s="227"/>
      <c r="S1270" s="228" t="e">
        <f>IF(C1270="",NA(),MATCH($B1270&amp;$C1270,'Smelter Reference List'!$J:$J,0))</f>
        <v>#N/A</v>
      </c>
      <c r="T1270" s="229"/>
      <c r="U1270" s="229">
        <f t="shared" ca="1" si="40"/>
        <v>0</v>
      </c>
      <c r="V1270" s="229"/>
      <c r="W1270" s="229"/>
      <c r="Y1270" s="223" t="str">
        <f t="shared" si="41"/>
        <v/>
      </c>
    </row>
    <row r="1271" spans="1:25" s="223" customFormat="1" ht="20.25">
      <c r="A1271" s="291"/>
      <c r="B1271" s="292" t="str">
        <f>IF(LEN(A1271)=0,"",INDEX('Smelter Reference List'!$A:$A,MATCH($A1271,'Smelter Reference List'!$E:$E,0)))</f>
        <v/>
      </c>
      <c r="C1271" s="298" t="str">
        <f>IF(LEN(A1271)=0,"",INDEX('Smelter Reference List'!$C:$C,MATCH($A1271,'Smelter Reference List'!$E:$E,0)))</f>
        <v/>
      </c>
      <c r="D1271" s="292" t="str">
        <f ca="1">IF(ISERROR($S1271),"",OFFSET('Smelter Reference List'!$C$4,$S1271-4,0)&amp;"")</f>
        <v/>
      </c>
      <c r="E1271" s="292" t="str">
        <f ca="1">IF(ISERROR($S1271),"",OFFSET('Smelter Reference List'!$D$4,$S1271-4,0)&amp;"")</f>
        <v/>
      </c>
      <c r="F1271" s="292" t="str">
        <f ca="1">IF(ISERROR($S1271),"",OFFSET('Smelter Reference List'!$E$4,$S1271-4,0))</f>
        <v/>
      </c>
      <c r="G1271" s="292" t="str">
        <f ca="1">IF(C1271=$U$4,"Enter smelter details", IF(ISERROR($S1271),"",OFFSET('Smelter Reference List'!$F$4,$S1271-4,0)))</f>
        <v/>
      </c>
      <c r="H1271" s="293" t="str">
        <f ca="1">IF(ISERROR($S1271),"",OFFSET('Smelter Reference List'!$G$4,$S1271-4,0))</f>
        <v/>
      </c>
      <c r="I1271" s="294" t="str">
        <f ca="1">IF(ISERROR($S1271),"",OFFSET('Smelter Reference List'!$H$4,$S1271-4,0))</f>
        <v/>
      </c>
      <c r="J1271" s="294" t="str">
        <f ca="1">IF(ISERROR($S1271),"",OFFSET('Smelter Reference List'!$I$4,$S1271-4,0))</f>
        <v/>
      </c>
      <c r="K1271" s="295"/>
      <c r="L1271" s="295"/>
      <c r="M1271" s="295"/>
      <c r="N1271" s="295"/>
      <c r="O1271" s="295"/>
      <c r="P1271" s="295"/>
      <c r="Q1271" s="296"/>
      <c r="R1271" s="227"/>
      <c r="S1271" s="228" t="e">
        <f>IF(C1271="",NA(),MATCH($B1271&amp;$C1271,'Smelter Reference List'!$J:$J,0))</f>
        <v>#N/A</v>
      </c>
      <c r="T1271" s="229"/>
      <c r="U1271" s="229">
        <f t="shared" ca="1" si="40"/>
        <v>0</v>
      </c>
      <c r="V1271" s="229"/>
      <c r="W1271" s="229"/>
      <c r="Y1271" s="223" t="str">
        <f t="shared" si="41"/>
        <v/>
      </c>
    </row>
    <row r="1272" spans="1:25" s="223" customFormat="1" ht="20.25">
      <c r="A1272" s="291"/>
      <c r="B1272" s="292" t="str">
        <f>IF(LEN(A1272)=0,"",INDEX('Smelter Reference List'!$A:$A,MATCH($A1272,'Smelter Reference List'!$E:$E,0)))</f>
        <v/>
      </c>
      <c r="C1272" s="298" t="str">
        <f>IF(LEN(A1272)=0,"",INDEX('Smelter Reference List'!$C:$C,MATCH($A1272,'Smelter Reference List'!$E:$E,0)))</f>
        <v/>
      </c>
      <c r="D1272" s="292" t="str">
        <f ca="1">IF(ISERROR($S1272),"",OFFSET('Smelter Reference List'!$C$4,$S1272-4,0)&amp;"")</f>
        <v/>
      </c>
      <c r="E1272" s="292" t="str">
        <f ca="1">IF(ISERROR($S1272),"",OFFSET('Smelter Reference List'!$D$4,$S1272-4,0)&amp;"")</f>
        <v/>
      </c>
      <c r="F1272" s="292" t="str">
        <f ca="1">IF(ISERROR($S1272),"",OFFSET('Smelter Reference List'!$E$4,$S1272-4,0))</f>
        <v/>
      </c>
      <c r="G1272" s="292" t="str">
        <f ca="1">IF(C1272=$U$4,"Enter smelter details", IF(ISERROR($S1272),"",OFFSET('Smelter Reference List'!$F$4,$S1272-4,0)))</f>
        <v/>
      </c>
      <c r="H1272" s="293" t="str">
        <f ca="1">IF(ISERROR($S1272),"",OFFSET('Smelter Reference List'!$G$4,$S1272-4,0))</f>
        <v/>
      </c>
      <c r="I1272" s="294" t="str">
        <f ca="1">IF(ISERROR($S1272),"",OFFSET('Smelter Reference List'!$H$4,$S1272-4,0))</f>
        <v/>
      </c>
      <c r="J1272" s="294" t="str">
        <f ca="1">IF(ISERROR($S1272),"",OFFSET('Smelter Reference List'!$I$4,$S1272-4,0))</f>
        <v/>
      </c>
      <c r="K1272" s="295"/>
      <c r="L1272" s="295"/>
      <c r="M1272" s="295"/>
      <c r="N1272" s="295"/>
      <c r="O1272" s="295"/>
      <c r="P1272" s="295"/>
      <c r="Q1272" s="296"/>
      <c r="R1272" s="227"/>
      <c r="S1272" s="228" t="e">
        <f>IF(C1272="",NA(),MATCH($B1272&amp;$C1272,'Smelter Reference List'!$J:$J,0))</f>
        <v>#N/A</v>
      </c>
      <c r="T1272" s="229"/>
      <c r="U1272" s="229">
        <f t="shared" ca="1" si="40"/>
        <v>0</v>
      </c>
      <c r="V1272" s="229"/>
      <c r="W1272" s="229"/>
      <c r="Y1272" s="223" t="str">
        <f t="shared" si="41"/>
        <v/>
      </c>
    </row>
    <row r="1273" spans="1:25" s="223" customFormat="1" ht="20.25">
      <c r="A1273" s="291"/>
      <c r="B1273" s="292" t="str">
        <f>IF(LEN(A1273)=0,"",INDEX('Smelter Reference List'!$A:$A,MATCH($A1273,'Smelter Reference List'!$E:$E,0)))</f>
        <v/>
      </c>
      <c r="C1273" s="298" t="str">
        <f>IF(LEN(A1273)=0,"",INDEX('Smelter Reference List'!$C:$C,MATCH($A1273,'Smelter Reference List'!$E:$E,0)))</f>
        <v/>
      </c>
      <c r="D1273" s="292" t="str">
        <f ca="1">IF(ISERROR($S1273),"",OFFSET('Smelter Reference List'!$C$4,$S1273-4,0)&amp;"")</f>
        <v/>
      </c>
      <c r="E1273" s="292" t="str">
        <f ca="1">IF(ISERROR($S1273),"",OFFSET('Smelter Reference List'!$D$4,$S1273-4,0)&amp;"")</f>
        <v/>
      </c>
      <c r="F1273" s="292" t="str">
        <f ca="1">IF(ISERROR($S1273),"",OFFSET('Smelter Reference List'!$E$4,$S1273-4,0))</f>
        <v/>
      </c>
      <c r="G1273" s="292" t="str">
        <f ca="1">IF(C1273=$U$4,"Enter smelter details", IF(ISERROR($S1273),"",OFFSET('Smelter Reference List'!$F$4,$S1273-4,0)))</f>
        <v/>
      </c>
      <c r="H1273" s="293" t="str">
        <f ca="1">IF(ISERROR($S1273),"",OFFSET('Smelter Reference List'!$G$4,$S1273-4,0))</f>
        <v/>
      </c>
      <c r="I1273" s="294" t="str">
        <f ca="1">IF(ISERROR($S1273),"",OFFSET('Smelter Reference List'!$H$4,$S1273-4,0))</f>
        <v/>
      </c>
      <c r="J1273" s="294" t="str">
        <f ca="1">IF(ISERROR($S1273),"",OFFSET('Smelter Reference List'!$I$4,$S1273-4,0))</f>
        <v/>
      </c>
      <c r="K1273" s="295"/>
      <c r="L1273" s="295"/>
      <c r="M1273" s="295"/>
      <c r="N1273" s="295"/>
      <c r="O1273" s="295"/>
      <c r="P1273" s="295"/>
      <c r="Q1273" s="296"/>
      <c r="R1273" s="227"/>
      <c r="S1273" s="228" t="e">
        <f>IF(C1273="",NA(),MATCH($B1273&amp;$C1273,'Smelter Reference List'!$J:$J,0))</f>
        <v>#N/A</v>
      </c>
      <c r="T1273" s="229"/>
      <c r="U1273" s="229">
        <f t="shared" ca="1" si="40"/>
        <v>0</v>
      </c>
      <c r="V1273" s="229"/>
      <c r="W1273" s="229"/>
      <c r="Y1273" s="223" t="str">
        <f t="shared" si="41"/>
        <v/>
      </c>
    </row>
    <row r="1274" spans="1:25" s="223" customFormat="1" ht="20.25">
      <c r="A1274" s="291"/>
      <c r="B1274" s="292" t="str">
        <f>IF(LEN(A1274)=0,"",INDEX('Smelter Reference List'!$A:$A,MATCH($A1274,'Smelter Reference List'!$E:$E,0)))</f>
        <v/>
      </c>
      <c r="C1274" s="298" t="str">
        <f>IF(LEN(A1274)=0,"",INDEX('Smelter Reference List'!$C:$C,MATCH($A1274,'Smelter Reference List'!$E:$E,0)))</f>
        <v/>
      </c>
      <c r="D1274" s="292" t="str">
        <f ca="1">IF(ISERROR($S1274),"",OFFSET('Smelter Reference List'!$C$4,$S1274-4,0)&amp;"")</f>
        <v/>
      </c>
      <c r="E1274" s="292" t="str">
        <f ca="1">IF(ISERROR($S1274),"",OFFSET('Smelter Reference List'!$D$4,$S1274-4,0)&amp;"")</f>
        <v/>
      </c>
      <c r="F1274" s="292" t="str">
        <f ca="1">IF(ISERROR($S1274),"",OFFSET('Smelter Reference List'!$E$4,$S1274-4,0))</f>
        <v/>
      </c>
      <c r="G1274" s="292" t="str">
        <f ca="1">IF(C1274=$U$4,"Enter smelter details", IF(ISERROR($S1274),"",OFFSET('Smelter Reference List'!$F$4,$S1274-4,0)))</f>
        <v/>
      </c>
      <c r="H1274" s="293" t="str">
        <f ca="1">IF(ISERROR($S1274),"",OFFSET('Smelter Reference List'!$G$4,$S1274-4,0))</f>
        <v/>
      </c>
      <c r="I1274" s="294" t="str">
        <f ca="1">IF(ISERROR($S1274),"",OFFSET('Smelter Reference List'!$H$4,$S1274-4,0))</f>
        <v/>
      </c>
      <c r="J1274" s="294" t="str">
        <f ca="1">IF(ISERROR($S1274),"",OFFSET('Smelter Reference List'!$I$4,$S1274-4,0))</f>
        <v/>
      </c>
      <c r="K1274" s="295"/>
      <c r="L1274" s="295"/>
      <c r="M1274" s="295"/>
      <c r="N1274" s="295"/>
      <c r="O1274" s="295"/>
      <c r="P1274" s="295"/>
      <c r="Q1274" s="296"/>
      <c r="R1274" s="227"/>
      <c r="S1274" s="228" t="e">
        <f>IF(C1274="",NA(),MATCH($B1274&amp;$C1274,'Smelter Reference List'!$J:$J,0))</f>
        <v>#N/A</v>
      </c>
      <c r="T1274" s="229"/>
      <c r="U1274" s="229">
        <f t="shared" ca="1" si="40"/>
        <v>0</v>
      </c>
      <c r="V1274" s="229"/>
      <c r="W1274" s="229"/>
      <c r="Y1274" s="223" t="str">
        <f t="shared" si="41"/>
        <v/>
      </c>
    </row>
    <row r="1275" spans="1:25" s="223" customFormat="1" ht="20.25">
      <c r="A1275" s="291"/>
      <c r="B1275" s="292" t="str">
        <f>IF(LEN(A1275)=0,"",INDEX('Smelter Reference List'!$A:$A,MATCH($A1275,'Smelter Reference List'!$E:$E,0)))</f>
        <v/>
      </c>
      <c r="C1275" s="298" t="str">
        <f>IF(LEN(A1275)=0,"",INDEX('Smelter Reference List'!$C:$C,MATCH($A1275,'Smelter Reference List'!$E:$E,0)))</f>
        <v/>
      </c>
      <c r="D1275" s="292" t="str">
        <f ca="1">IF(ISERROR($S1275),"",OFFSET('Smelter Reference List'!$C$4,$S1275-4,0)&amp;"")</f>
        <v/>
      </c>
      <c r="E1275" s="292" t="str">
        <f ca="1">IF(ISERROR($S1275),"",OFFSET('Smelter Reference List'!$D$4,$S1275-4,0)&amp;"")</f>
        <v/>
      </c>
      <c r="F1275" s="292" t="str">
        <f ca="1">IF(ISERROR($S1275),"",OFFSET('Smelter Reference List'!$E$4,$S1275-4,0))</f>
        <v/>
      </c>
      <c r="G1275" s="292" t="str">
        <f ca="1">IF(C1275=$U$4,"Enter smelter details", IF(ISERROR($S1275),"",OFFSET('Smelter Reference List'!$F$4,$S1275-4,0)))</f>
        <v/>
      </c>
      <c r="H1275" s="293" t="str">
        <f ca="1">IF(ISERROR($S1275),"",OFFSET('Smelter Reference List'!$G$4,$S1275-4,0))</f>
        <v/>
      </c>
      <c r="I1275" s="294" t="str">
        <f ca="1">IF(ISERROR($S1275),"",OFFSET('Smelter Reference List'!$H$4,$S1275-4,0))</f>
        <v/>
      </c>
      <c r="J1275" s="294" t="str">
        <f ca="1">IF(ISERROR($S1275),"",OFFSET('Smelter Reference List'!$I$4,$S1275-4,0))</f>
        <v/>
      </c>
      <c r="K1275" s="295"/>
      <c r="L1275" s="295"/>
      <c r="M1275" s="295"/>
      <c r="N1275" s="295"/>
      <c r="O1275" s="295"/>
      <c r="P1275" s="295"/>
      <c r="Q1275" s="296"/>
      <c r="R1275" s="227"/>
      <c r="S1275" s="228" t="e">
        <f>IF(C1275="",NA(),MATCH($B1275&amp;$C1275,'Smelter Reference List'!$J:$J,0))</f>
        <v>#N/A</v>
      </c>
      <c r="T1275" s="229"/>
      <c r="U1275" s="229">
        <f t="shared" ca="1" si="40"/>
        <v>0</v>
      </c>
      <c r="V1275" s="229"/>
      <c r="W1275" s="229"/>
      <c r="Y1275" s="223" t="str">
        <f t="shared" si="41"/>
        <v/>
      </c>
    </row>
    <row r="1276" spans="1:25" s="223" customFormat="1" ht="20.25">
      <c r="A1276" s="291"/>
      <c r="B1276" s="292" t="str">
        <f>IF(LEN(A1276)=0,"",INDEX('Smelter Reference List'!$A:$A,MATCH($A1276,'Smelter Reference List'!$E:$E,0)))</f>
        <v/>
      </c>
      <c r="C1276" s="298" t="str">
        <f>IF(LEN(A1276)=0,"",INDEX('Smelter Reference List'!$C:$C,MATCH($A1276,'Smelter Reference List'!$E:$E,0)))</f>
        <v/>
      </c>
      <c r="D1276" s="292" t="str">
        <f ca="1">IF(ISERROR($S1276),"",OFFSET('Smelter Reference List'!$C$4,$S1276-4,0)&amp;"")</f>
        <v/>
      </c>
      <c r="E1276" s="292" t="str">
        <f ca="1">IF(ISERROR($S1276),"",OFFSET('Smelter Reference List'!$D$4,$S1276-4,0)&amp;"")</f>
        <v/>
      </c>
      <c r="F1276" s="292" t="str">
        <f ca="1">IF(ISERROR($S1276),"",OFFSET('Smelter Reference List'!$E$4,$S1276-4,0))</f>
        <v/>
      </c>
      <c r="G1276" s="292" t="str">
        <f ca="1">IF(C1276=$U$4,"Enter smelter details", IF(ISERROR($S1276),"",OFFSET('Smelter Reference List'!$F$4,$S1276-4,0)))</f>
        <v/>
      </c>
      <c r="H1276" s="293" t="str">
        <f ca="1">IF(ISERROR($S1276),"",OFFSET('Smelter Reference List'!$G$4,$S1276-4,0))</f>
        <v/>
      </c>
      <c r="I1276" s="294" t="str">
        <f ca="1">IF(ISERROR($S1276),"",OFFSET('Smelter Reference List'!$H$4,$S1276-4,0))</f>
        <v/>
      </c>
      <c r="J1276" s="294" t="str">
        <f ca="1">IF(ISERROR($S1276),"",OFFSET('Smelter Reference List'!$I$4,$S1276-4,0))</f>
        <v/>
      </c>
      <c r="K1276" s="295"/>
      <c r="L1276" s="295"/>
      <c r="M1276" s="295"/>
      <c r="N1276" s="295"/>
      <c r="O1276" s="295"/>
      <c r="P1276" s="295"/>
      <c r="Q1276" s="296"/>
      <c r="R1276" s="227"/>
      <c r="S1276" s="228" t="e">
        <f>IF(C1276="",NA(),MATCH($B1276&amp;$C1276,'Smelter Reference List'!$J:$J,0))</f>
        <v>#N/A</v>
      </c>
      <c r="T1276" s="229"/>
      <c r="U1276" s="229">
        <f t="shared" ca="1" si="40"/>
        <v>0</v>
      </c>
      <c r="V1276" s="229"/>
      <c r="W1276" s="229"/>
      <c r="Y1276" s="223" t="str">
        <f t="shared" si="41"/>
        <v/>
      </c>
    </row>
    <row r="1277" spans="1:25" s="223" customFormat="1" ht="20.25">
      <c r="A1277" s="291"/>
      <c r="B1277" s="292" t="str">
        <f>IF(LEN(A1277)=0,"",INDEX('Smelter Reference List'!$A:$A,MATCH($A1277,'Smelter Reference List'!$E:$E,0)))</f>
        <v/>
      </c>
      <c r="C1277" s="298" t="str">
        <f>IF(LEN(A1277)=0,"",INDEX('Smelter Reference List'!$C:$C,MATCH($A1277,'Smelter Reference List'!$E:$E,0)))</f>
        <v/>
      </c>
      <c r="D1277" s="292" t="str">
        <f ca="1">IF(ISERROR($S1277),"",OFFSET('Smelter Reference List'!$C$4,$S1277-4,0)&amp;"")</f>
        <v/>
      </c>
      <c r="E1277" s="292" t="str">
        <f ca="1">IF(ISERROR($S1277),"",OFFSET('Smelter Reference List'!$D$4,$S1277-4,0)&amp;"")</f>
        <v/>
      </c>
      <c r="F1277" s="292" t="str">
        <f ca="1">IF(ISERROR($S1277),"",OFFSET('Smelter Reference List'!$E$4,$S1277-4,0))</f>
        <v/>
      </c>
      <c r="G1277" s="292" t="str">
        <f ca="1">IF(C1277=$U$4,"Enter smelter details", IF(ISERROR($S1277),"",OFFSET('Smelter Reference List'!$F$4,$S1277-4,0)))</f>
        <v/>
      </c>
      <c r="H1277" s="293" t="str">
        <f ca="1">IF(ISERROR($S1277),"",OFFSET('Smelter Reference List'!$G$4,$S1277-4,0))</f>
        <v/>
      </c>
      <c r="I1277" s="294" t="str">
        <f ca="1">IF(ISERROR($S1277),"",OFFSET('Smelter Reference List'!$H$4,$S1277-4,0))</f>
        <v/>
      </c>
      <c r="J1277" s="294" t="str">
        <f ca="1">IF(ISERROR($S1277),"",OFFSET('Smelter Reference List'!$I$4,$S1277-4,0))</f>
        <v/>
      </c>
      <c r="K1277" s="295"/>
      <c r="L1277" s="295"/>
      <c r="M1277" s="295"/>
      <c r="N1277" s="295"/>
      <c r="O1277" s="295"/>
      <c r="P1277" s="295"/>
      <c r="Q1277" s="296"/>
      <c r="R1277" s="227"/>
      <c r="S1277" s="228" t="e">
        <f>IF(C1277="",NA(),MATCH($B1277&amp;$C1277,'Smelter Reference List'!$J:$J,0))</f>
        <v>#N/A</v>
      </c>
      <c r="T1277" s="229"/>
      <c r="U1277" s="229">
        <f t="shared" ca="1" si="40"/>
        <v>0</v>
      </c>
      <c r="V1277" s="229"/>
      <c r="W1277" s="229"/>
      <c r="Y1277" s="223" t="str">
        <f t="shared" si="41"/>
        <v/>
      </c>
    </row>
    <row r="1278" spans="1:25" s="223" customFormat="1" ht="20.25">
      <c r="A1278" s="291"/>
      <c r="B1278" s="292" t="str">
        <f>IF(LEN(A1278)=0,"",INDEX('Smelter Reference List'!$A:$A,MATCH($A1278,'Smelter Reference List'!$E:$E,0)))</f>
        <v/>
      </c>
      <c r="C1278" s="298" t="str">
        <f>IF(LEN(A1278)=0,"",INDEX('Smelter Reference List'!$C:$C,MATCH($A1278,'Smelter Reference List'!$E:$E,0)))</f>
        <v/>
      </c>
      <c r="D1278" s="292" t="str">
        <f ca="1">IF(ISERROR($S1278),"",OFFSET('Smelter Reference List'!$C$4,$S1278-4,0)&amp;"")</f>
        <v/>
      </c>
      <c r="E1278" s="292" t="str">
        <f ca="1">IF(ISERROR($S1278),"",OFFSET('Smelter Reference List'!$D$4,$S1278-4,0)&amp;"")</f>
        <v/>
      </c>
      <c r="F1278" s="292" t="str">
        <f ca="1">IF(ISERROR($S1278),"",OFFSET('Smelter Reference List'!$E$4,$S1278-4,0))</f>
        <v/>
      </c>
      <c r="G1278" s="292" t="str">
        <f ca="1">IF(C1278=$U$4,"Enter smelter details", IF(ISERROR($S1278),"",OFFSET('Smelter Reference List'!$F$4,$S1278-4,0)))</f>
        <v/>
      </c>
      <c r="H1278" s="293" t="str">
        <f ca="1">IF(ISERROR($S1278),"",OFFSET('Smelter Reference List'!$G$4,$S1278-4,0))</f>
        <v/>
      </c>
      <c r="I1278" s="294" t="str">
        <f ca="1">IF(ISERROR($S1278),"",OFFSET('Smelter Reference List'!$H$4,$S1278-4,0))</f>
        <v/>
      </c>
      <c r="J1278" s="294" t="str">
        <f ca="1">IF(ISERROR($S1278),"",OFFSET('Smelter Reference List'!$I$4,$S1278-4,0))</f>
        <v/>
      </c>
      <c r="K1278" s="295"/>
      <c r="L1278" s="295"/>
      <c r="M1278" s="295"/>
      <c r="N1278" s="295"/>
      <c r="O1278" s="295"/>
      <c r="P1278" s="295"/>
      <c r="Q1278" s="296"/>
      <c r="R1278" s="227"/>
      <c r="S1278" s="228" t="e">
        <f>IF(C1278="",NA(),MATCH($B1278&amp;$C1278,'Smelter Reference List'!$J:$J,0))</f>
        <v>#N/A</v>
      </c>
      <c r="T1278" s="229"/>
      <c r="U1278" s="229">
        <f t="shared" ca="1" si="40"/>
        <v>0</v>
      </c>
      <c r="V1278" s="229"/>
      <c r="W1278" s="229"/>
      <c r="Y1278" s="223" t="str">
        <f t="shared" si="41"/>
        <v/>
      </c>
    </row>
    <row r="1279" spans="1:25" s="223" customFormat="1" ht="20.25">
      <c r="A1279" s="291"/>
      <c r="B1279" s="292" t="str">
        <f>IF(LEN(A1279)=0,"",INDEX('Smelter Reference List'!$A:$A,MATCH($A1279,'Smelter Reference List'!$E:$E,0)))</f>
        <v/>
      </c>
      <c r="C1279" s="298" t="str">
        <f>IF(LEN(A1279)=0,"",INDEX('Smelter Reference List'!$C:$C,MATCH($A1279,'Smelter Reference List'!$E:$E,0)))</f>
        <v/>
      </c>
      <c r="D1279" s="292" t="str">
        <f ca="1">IF(ISERROR($S1279),"",OFFSET('Smelter Reference List'!$C$4,$S1279-4,0)&amp;"")</f>
        <v/>
      </c>
      <c r="E1279" s="292" t="str">
        <f ca="1">IF(ISERROR($S1279),"",OFFSET('Smelter Reference List'!$D$4,$S1279-4,0)&amp;"")</f>
        <v/>
      </c>
      <c r="F1279" s="292" t="str">
        <f ca="1">IF(ISERROR($S1279),"",OFFSET('Smelter Reference List'!$E$4,$S1279-4,0))</f>
        <v/>
      </c>
      <c r="G1279" s="292" t="str">
        <f ca="1">IF(C1279=$U$4,"Enter smelter details", IF(ISERROR($S1279),"",OFFSET('Smelter Reference List'!$F$4,$S1279-4,0)))</f>
        <v/>
      </c>
      <c r="H1279" s="293" t="str">
        <f ca="1">IF(ISERROR($S1279),"",OFFSET('Smelter Reference List'!$G$4,$S1279-4,0))</f>
        <v/>
      </c>
      <c r="I1279" s="294" t="str">
        <f ca="1">IF(ISERROR($S1279),"",OFFSET('Smelter Reference List'!$H$4,$S1279-4,0))</f>
        <v/>
      </c>
      <c r="J1279" s="294" t="str">
        <f ca="1">IF(ISERROR($S1279),"",OFFSET('Smelter Reference List'!$I$4,$S1279-4,0))</f>
        <v/>
      </c>
      <c r="K1279" s="295"/>
      <c r="L1279" s="295"/>
      <c r="M1279" s="295"/>
      <c r="N1279" s="295"/>
      <c r="O1279" s="295"/>
      <c r="P1279" s="295"/>
      <c r="Q1279" s="296"/>
      <c r="R1279" s="227"/>
      <c r="S1279" s="228" t="e">
        <f>IF(C1279="",NA(),MATCH($B1279&amp;$C1279,'Smelter Reference List'!$J:$J,0))</f>
        <v>#N/A</v>
      </c>
      <c r="T1279" s="229"/>
      <c r="U1279" s="229">
        <f t="shared" ca="1" si="40"/>
        <v>0</v>
      </c>
      <c r="V1279" s="229"/>
      <c r="W1279" s="229"/>
      <c r="Y1279" s="223" t="str">
        <f t="shared" si="41"/>
        <v/>
      </c>
    </row>
    <row r="1280" spans="1:25" s="223" customFormat="1" ht="20.25">
      <c r="A1280" s="291"/>
      <c r="B1280" s="292" t="str">
        <f>IF(LEN(A1280)=0,"",INDEX('Smelter Reference List'!$A:$A,MATCH($A1280,'Smelter Reference List'!$E:$E,0)))</f>
        <v/>
      </c>
      <c r="C1280" s="298" t="str">
        <f>IF(LEN(A1280)=0,"",INDEX('Smelter Reference List'!$C:$C,MATCH($A1280,'Smelter Reference List'!$E:$E,0)))</f>
        <v/>
      </c>
      <c r="D1280" s="292" t="str">
        <f ca="1">IF(ISERROR($S1280),"",OFFSET('Smelter Reference List'!$C$4,$S1280-4,0)&amp;"")</f>
        <v/>
      </c>
      <c r="E1280" s="292" t="str">
        <f ca="1">IF(ISERROR($S1280),"",OFFSET('Smelter Reference List'!$D$4,$S1280-4,0)&amp;"")</f>
        <v/>
      </c>
      <c r="F1280" s="292" t="str">
        <f ca="1">IF(ISERROR($S1280),"",OFFSET('Smelter Reference List'!$E$4,$S1280-4,0))</f>
        <v/>
      </c>
      <c r="G1280" s="292" t="str">
        <f ca="1">IF(C1280=$U$4,"Enter smelter details", IF(ISERROR($S1280),"",OFFSET('Smelter Reference List'!$F$4,$S1280-4,0)))</f>
        <v/>
      </c>
      <c r="H1280" s="293" t="str">
        <f ca="1">IF(ISERROR($S1280),"",OFFSET('Smelter Reference List'!$G$4,$S1280-4,0))</f>
        <v/>
      </c>
      <c r="I1280" s="294" t="str">
        <f ca="1">IF(ISERROR($S1280),"",OFFSET('Smelter Reference List'!$H$4,$S1280-4,0))</f>
        <v/>
      </c>
      <c r="J1280" s="294" t="str">
        <f ca="1">IF(ISERROR($S1280),"",OFFSET('Smelter Reference List'!$I$4,$S1280-4,0))</f>
        <v/>
      </c>
      <c r="K1280" s="295"/>
      <c r="L1280" s="295"/>
      <c r="M1280" s="295"/>
      <c r="N1280" s="295"/>
      <c r="O1280" s="295"/>
      <c r="P1280" s="295"/>
      <c r="Q1280" s="296"/>
      <c r="R1280" s="227"/>
      <c r="S1280" s="228" t="e">
        <f>IF(C1280="",NA(),MATCH($B1280&amp;$C1280,'Smelter Reference List'!$J:$J,0))</f>
        <v>#N/A</v>
      </c>
      <c r="T1280" s="229"/>
      <c r="U1280" s="229">
        <f t="shared" ca="1" si="40"/>
        <v>0</v>
      </c>
      <c r="V1280" s="229"/>
      <c r="W1280" s="229"/>
      <c r="Y1280" s="223" t="str">
        <f t="shared" si="41"/>
        <v/>
      </c>
    </row>
    <row r="1281" spans="1:25" s="223" customFormat="1" ht="20.25">
      <c r="A1281" s="291"/>
      <c r="B1281" s="292" t="str">
        <f>IF(LEN(A1281)=0,"",INDEX('Smelter Reference List'!$A:$A,MATCH($A1281,'Smelter Reference List'!$E:$E,0)))</f>
        <v/>
      </c>
      <c r="C1281" s="298" t="str">
        <f>IF(LEN(A1281)=0,"",INDEX('Smelter Reference List'!$C:$C,MATCH($A1281,'Smelter Reference List'!$E:$E,0)))</f>
        <v/>
      </c>
      <c r="D1281" s="292" t="str">
        <f ca="1">IF(ISERROR($S1281),"",OFFSET('Smelter Reference List'!$C$4,$S1281-4,0)&amp;"")</f>
        <v/>
      </c>
      <c r="E1281" s="292" t="str">
        <f ca="1">IF(ISERROR($S1281),"",OFFSET('Smelter Reference List'!$D$4,$S1281-4,0)&amp;"")</f>
        <v/>
      </c>
      <c r="F1281" s="292" t="str">
        <f ca="1">IF(ISERROR($S1281),"",OFFSET('Smelter Reference List'!$E$4,$S1281-4,0))</f>
        <v/>
      </c>
      <c r="G1281" s="292" t="str">
        <f ca="1">IF(C1281=$U$4,"Enter smelter details", IF(ISERROR($S1281),"",OFFSET('Smelter Reference List'!$F$4,$S1281-4,0)))</f>
        <v/>
      </c>
      <c r="H1281" s="293" t="str">
        <f ca="1">IF(ISERROR($S1281),"",OFFSET('Smelter Reference List'!$G$4,$S1281-4,0))</f>
        <v/>
      </c>
      <c r="I1281" s="294" t="str">
        <f ca="1">IF(ISERROR($S1281),"",OFFSET('Smelter Reference List'!$H$4,$S1281-4,0))</f>
        <v/>
      </c>
      <c r="J1281" s="294" t="str">
        <f ca="1">IF(ISERROR($S1281),"",OFFSET('Smelter Reference List'!$I$4,$S1281-4,0))</f>
        <v/>
      </c>
      <c r="K1281" s="295"/>
      <c r="L1281" s="295"/>
      <c r="M1281" s="295"/>
      <c r="N1281" s="295"/>
      <c r="O1281" s="295"/>
      <c r="P1281" s="295"/>
      <c r="Q1281" s="296"/>
      <c r="R1281" s="227"/>
      <c r="S1281" s="228" t="e">
        <f>IF(C1281="",NA(),MATCH($B1281&amp;$C1281,'Smelter Reference List'!$J:$J,0))</f>
        <v>#N/A</v>
      </c>
      <c r="T1281" s="229"/>
      <c r="U1281" s="229">
        <f t="shared" ca="1" si="40"/>
        <v>0</v>
      </c>
      <c r="V1281" s="229"/>
      <c r="W1281" s="229"/>
      <c r="Y1281" s="223" t="str">
        <f t="shared" si="41"/>
        <v/>
      </c>
    </row>
    <row r="1282" spans="1:25" s="223" customFormat="1" ht="20.25">
      <c r="A1282" s="291"/>
      <c r="B1282" s="292" t="str">
        <f>IF(LEN(A1282)=0,"",INDEX('Smelter Reference List'!$A:$A,MATCH($A1282,'Smelter Reference List'!$E:$E,0)))</f>
        <v/>
      </c>
      <c r="C1282" s="298" t="str">
        <f>IF(LEN(A1282)=0,"",INDEX('Smelter Reference List'!$C:$C,MATCH($A1282,'Smelter Reference List'!$E:$E,0)))</f>
        <v/>
      </c>
      <c r="D1282" s="292" t="str">
        <f ca="1">IF(ISERROR($S1282),"",OFFSET('Smelter Reference List'!$C$4,$S1282-4,0)&amp;"")</f>
        <v/>
      </c>
      <c r="E1282" s="292" t="str">
        <f ca="1">IF(ISERROR($S1282),"",OFFSET('Smelter Reference List'!$D$4,$S1282-4,0)&amp;"")</f>
        <v/>
      </c>
      <c r="F1282" s="292" t="str">
        <f ca="1">IF(ISERROR($S1282),"",OFFSET('Smelter Reference List'!$E$4,$S1282-4,0))</f>
        <v/>
      </c>
      <c r="G1282" s="292" t="str">
        <f ca="1">IF(C1282=$U$4,"Enter smelter details", IF(ISERROR($S1282),"",OFFSET('Smelter Reference List'!$F$4,$S1282-4,0)))</f>
        <v/>
      </c>
      <c r="H1282" s="293" t="str">
        <f ca="1">IF(ISERROR($S1282),"",OFFSET('Smelter Reference List'!$G$4,$S1282-4,0))</f>
        <v/>
      </c>
      <c r="I1282" s="294" t="str">
        <f ca="1">IF(ISERROR($S1282),"",OFFSET('Smelter Reference List'!$H$4,$S1282-4,0))</f>
        <v/>
      </c>
      <c r="J1282" s="294" t="str">
        <f ca="1">IF(ISERROR($S1282),"",OFFSET('Smelter Reference List'!$I$4,$S1282-4,0))</f>
        <v/>
      </c>
      <c r="K1282" s="295"/>
      <c r="L1282" s="295"/>
      <c r="M1282" s="295"/>
      <c r="N1282" s="295"/>
      <c r="O1282" s="295"/>
      <c r="P1282" s="295"/>
      <c r="Q1282" s="296"/>
      <c r="R1282" s="227"/>
      <c r="S1282" s="228" t="e">
        <f>IF(C1282="",NA(),MATCH($B1282&amp;$C1282,'Smelter Reference List'!$J:$J,0))</f>
        <v>#N/A</v>
      </c>
      <c r="T1282" s="229"/>
      <c r="U1282" s="229">
        <f t="shared" ca="1" si="40"/>
        <v>0</v>
      </c>
      <c r="V1282" s="229"/>
      <c r="W1282" s="229"/>
      <c r="Y1282" s="223" t="str">
        <f t="shared" si="41"/>
        <v/>
      </c>
    </row>
    <row r="1283" spans="1:25" s="223" customFormat="1" ht="20.25">
      <c r="A1283" s="291"/>
      <c r="B1283" s="292" t="str">
        <f>IF(LEN(A1283)=0,"",INDEX('Smelter Reference List'!$A:$A,MATCH($A1283,'Smelter Reference List'!$E:$E,0)))</f>
        <v/>
      </c>
      <c r="C1283" s="298" t="str">
        <f>IF(LEN(A1283)=0,"",INDEX('Smelter Reference List'!$C:$C,MATCH($A1283,'Smelter Reference List'!$E:$E,0)))</f>
        <v/>
      </c>
      <c r="D1283" s="292" t="str">
        <f ca="1">IF(ISERROR($S1283),"",OFFSET('Smelter Reference List'!$C$4,$S1283-4,0)&amp;"")</f>
        <v/>
      </c>
      <c r="E1283" s="292" t="str">
        <f ca="1">IF(ISERROR($S1283),"",OFFSET('Smelter Reference List'!$D$4,$S1283-4,0)&amp;"")</f>
        <v/>
      </c>
      <c r="F1283" s="292" t="str">
        <f ca="1">IF(ISERROR($S1283),"",OFFSET('Smelter Reference List'!$E$4,$S1283-4,0))</f>
        <v/>
      </c>
      <c r="G1283" s="292" t="str">
        <f ca="1">IF(C1283=$U$4,"Enter smelter details", IF(ISERROR($S1283),"",OFFSET('Smelter Reference List'!$F$4,$S1283-4,0)))</f>
        <v/>
      </c>
      <c r="H1283" s="293" t="str">
        <f ca="1">IF(ISERROR($S1283),"",OFFSET('Smelter Reference List'!$G$4,$S1283-4,0))</f>
        <v/>
      </c>
      <c r="I1283" s="294" t="str">
        <f ca="1">IF(ISERROR($S1283),"",OFFSET('Smelter Reference List'!$H$4,$S1283-4,0))</f>
        <v/>
      </c>
      <c r="J1283" s="294" t="str">
        <f ca="1">IF(ISERROR($S1283),"",OFFSET('Smelter Reference List'!$I$4,$S1283-4,0))</f>
        <v/>
      </c>
      <c r="K1283" s="295"/>
      <c r="L1283" s="295"/>
      <c r="M1283" s="295"/>
      <c r="N1283" s="295"/>
      <c r="O1283" s="295"/>
      <c r="P1283" s="295"/>
      <c r="Q1283" s="296"/>
      <c r="R1283" s="227"/>
      <c r="S1283" s="228" t="e">
        <f>IF(C1283="",NA(),MATCH($B1283&amp;$C1283,'Smelter Reference List'!$J:$J,0))</f>
        <v>#N/A</v>
      </c>
      <c r="T1283" s="229"/>
      <c r="U1283" s="229">
        <f t="shared" ca="1" si="40"/>
        <v>0</v>
      </c>
      <c r="V1283" s="229"/>
      <c r="W1283" s="229"/>
      <c r="Y1283" s="223" t="str">
        <f t="shared" si="41"/>
        <v/>
      </c>
    </row>
    <row r="1284" spans="1:25" s="223" customFormat="1" ht="20.25">
      <c r="A1284" s="291"/>
      <c r="B1284" s="292" t="str">
        <f>IF(LEN(A1284)=0,"",INDEX('Smelter Reference List'!$A:$A,MATCH($A1284,'Smelter Reference List'!$E:$E,0)))</f>
        <v/>
      </c>
      <c r="C1284" s="298" t="str">
        <f>IF(LEN(A1284)=0,"",INDEX('Smelter Reference List'!$C:$C,MATCH($A1284,'Smelter Reference List'!$E:$E,0)))</f>
        <v/>
      </c>
      <c r="D1284" s="292" t="str">
        <f ca="1">IF(ISERROR($S1284),"",OFFSET('Smelter Reference List'!$C$4,$S1284-4,0)&amp;"")</f>
        <v/>
      </c>
      <c r="E1284" s="292" t="str">
        <f ca="1">IF(ISERROR($S1284),"",OFFSET('Smelter Reference List'!$D$4,$S1284-4,0)&amp;"")</f>
        <v/>
      </c>
      <c r="F1284" s="292" t="str">
        <f ca="1">IF(ISERROR($S1284),"",OFFSET('Smelter Reference List'!$E$4,$S1284-4,0))</f>
        <v/>
      </c>
      <c r="G1284" s="292" t="str">
        <f ca="1">IF(C1284=$U$4,"Enter smelter details", IF(ISERROR($S1284),"",OFFSET('Smelter Reference List'!$F$4,$S1284-4,0)))</f>
        <v/>
      </c>
      <c r="H1284" s="293" t="str">
        <f ca="1">IF(ISERROR($S1284),"",OFFSET('Smelter Reference List'!$G$4,$S1284-4,0))</f>
        <v/>
      </c>
      <c r="I1284" s="294" t="str">
        <f ca="1">IF(ISERROR($S1284),"",OFFSET('Smelter Reference List'!$H$4,$S1284-4,0))</f>
        <v/>
      </c>
      <c r="J1284" s="294" t="str">
        <f ca="1">IF(ISERROR($S1284),"",OFFSET('Smelter Reference List'!$I$4,$S1284-4,0))</f>
        <v/>
      </c>
      <c r="K1284" s="295"/>
      <c r="L1284" s="295"/>
      <c r="M1284" s="295"/>
      <c r="N1284" s="295"/>
      <c r="O1284" s="295"/>
      <c r="P1284" s="295"/>
      <c r="Q1284" s="296"/>
      <c r="R1284" s="227"/>
      <c r="S1284" s="228" t="e">
        <f>IF(C1284="",NA(),MATCH($B1284&amp;$C1284,'Smelter Reference List'!$J:$J,0))</f>
        <v>#N/A</v>
      </c>
      <c r="T1284" s="229"/>
      <c r="U1284" s="229">
        <f t="shared" ca="1" si="40"/>
        <v>0</v>
      </c>
      <c r="V1284" s="229"/>
      <c r="W1284" s="229"/>
      <c r="Y1284" s="223" t="str">
        <f t="shared" si="41"/>
        <v/>
      </c>
    </row>
    <row r="1285" spans="1:25" s="223" customFormat="1" ht="20.25">
      <c r="A1285" s="291"/>
      <c r="B1285" s="292" t="str">
        <f>IF(LEN(A1285)=0,"",INDEX('Smelter Reference List'!$A:$A,MATCH($A1285,'Smelter Reference List'!$E:$E,0)))</f>
        <v/>
      </c>
      <c r="C1285" s="298" t="str">
        <f>IF(LEN(A1285)=0,"",INDEX('Smelter Reference List'!$C:$C,MATCH($A1285,'Smelter Reference List'!$E:$E,0)))</f>
        <v/>
      </c>
      <c r="D1285" s="292" t="str">
        <f ca="1">IF(ISERROR($S1285),"",OFFSET('Smelter Reference List'!$C$4,$S1285-4,0)&amp;"")</f>
        <v/>
      </c>
      <c r="E1285" s="292" t="str">
        <f ca="1">IF(ISERROR($S1285),"",OFFSET('Smelter Reference List'!$D$4,$S1285-4,0)&amp;"")</f>
        <v/>
      </c>
      <c r="F1285" s="292" t="str">
        <f ca="1">IF(ISERROR($S1285),"",OFFSET('Smelter Reference List'!$E$4,$S1285-4,0))</f>
        <v/>
      </c>
      <c r="G1285" s="292" t="str">
        <f ca="1">IF(C1285=$U$4,"Enter smelter details", IF(ISERROR($S1285),"",OFFSET('Smelter Reference List'!$F$4,$S1285-4,0)))</f>
        <v/>
      </c>
      <c r="H1285" s="293" t="str">
        <f ca="1">IF(ISERROR($S1285),"",OFFSET('Smelter Reference List'!$G$4,$S1285-4,0))</f>
        <v/>
      </c>
      <c r="I1285" s="294" t="str">
        <f ca="1">IF(ISERROR($S1285),"",OFFSET('Smelter Reference List'!$H$4,$S1285-4,0))</f>
        <v/>
      </c>
      <c r="J1285" s="294" t="str">
        <f ca="1">IF(ISERROR($S1285),"",OFFSET('Smelter Reference List'!$I$4,$S1285-4,0))</f>
        <v/>
      </c>
      <c r="K1285" s="295"/>
      <c r="L1285" s="295"/>
      <c r="M1285" s="295"/>
      <c r="N1285" s="295"/>
      <c r="O1285" s="295"/>
      <c r="P1285" s="295"/>
      <c r="Q1285" s="296"/>
      <c r="R1285" s="227"/>
      <c r="S1285" s="228" t="e">
        <f>IF(C1285="",NA(),MATCH($B1285&amp;$C1285,'Smelter Reference List'!$J:$J,0))</f>
        <v>#N/A</v>
      </c>
      <c r="T1285" s="229"/>
      <c r="U1285" s="229">
        <f ca="1">IF(AND(C1285="Smelter not listed",OR(LEN(D1285)=0,LEN(E1285)=0)),1,0)</f>
        <v>0</v>
      </c>
      <c r="V1285" s="229"/>
      <c r="W1285" s="229"/>
      <c r="Y1285" s="223" t="str">
        <f>B1285&amp;C1285</f>
        <v/>
      </c>
    </row>
    <row r="1286" spans="1:25" s="223" customFormat="1" ht="20.25">
      <c r="A1286" s="291"/>
      <c r="B1286" s="292" t="str">
        <f>IF(LEN(A1286)=0,"",INDEX('Smelter Reference List'!$A:$A,MATCH($A1286,'Smelter Reference List'!$E:$E,0)))</f>
        <v/>
      </c>
      <c r="C1286" s="298" t="str">
        <f>IF(LEN(A1286)=0,"",INDEX('Smelter Reference List'!$C:$C,MATCH($A1286,'Smelter Reference List'!$E:$E,0)))</f>
        <v/>
      </c>
      <c r="D1286" s="292" t="str">
        <f ca="1">IF(ISERROR($S1286),"",OFFSET('Smelter Reference List'!$C$4,$S1286-4,0)&amp;"")</f>
        <v/>
      </c>
      <c r="E1286" s="292" t="str">
        <f ca="1">IF(ISERROR($S1286),"",OFFSET('Smelter Reference List'!$D$4,$S1286-4,0)&amp;"")</f>
        <v/>
      </c>
      <c r="F1286" s="292" t="str">
        <f ca="1">IF(ISERROR($S1286),"",OFFSET('Smelter Reference List'!$E$4,$S1286-4,0))</f>
        <v/>
      </c>
      <c r="G1286" s="292" t="str">
        <f ca="1">IF(C1286=$U$4,"Enter smelter details", IF(ISERROR($S1286),"",OFFSET('Smelter Reference List'!$F$4,$S1286-4,0)))</f>
        <v/>
      </c>
      <c r="H1286" s="293" t="str">
        <f ca="1">IF(ISERROR($S1286),"",OFFSET('Smelter Reference List'!$G$4,$S1286-4,0))</f>
        <v/>
      </c>
      <c r="I1286" s="294" t="str">
        <f ca="1">IF(ISERROR($S1286),"",OFFSET('Smelter Reference List'!$H$4,$S1286-4,0))</f>
        <v/>
      </c>
      <c r="J1286" s="294" t="str">
        <f ca="1">IF(ISERROR($S1286),"",OFFSET('Smelter Reference List'!$I$4,$S1286-4,0))</f>
        <v/>
      </c>
      <c r="K1286" s="295"/>
      <c r="L1286" s="295"/>
      <c r="M1286" s="295"/>
      <c r="N1286" s="295"/>
      <c r="O1286" s="295"/>
      <c r="P1286" s="295"/>
      <c r="Q1286" s="296"/>
      <c r="R1286" s="227"/>
      <c r="S1286" s="228" t="e">
        <f>IF(C1286="",NA(),MATCH($B1286&amp;$C1286,'Smelter Reference List'!$J:$J,0))</f>
        <v>#N/A</v>
      </c>
      <c r="T1286" s="229"/>
      <c r="U1286" s="229">
        <f ca="1">IF(AND(C1286="Smelter not listed",OR(LEN(D1286)=0,LEN(E1286)=0)),1,0)</f>
        <v>0</v>
      </c>
      <c r="V1286" s="229"/>
      <c r="W1286" s="229"/>
      <c r="Y1286" s="223" t="str">
        <f>B1286&amp;C1286</f>
        <v/>
      </c>
    </row>
    <row r="1287" spans="1:25" s="223" customFormat="1" ht="20.25">
      <c r="A1287" s="291"/>
      <c r="B1287" s="292" t="str">
        <f>IF(LEN(A1287)=0,"",INDEX('Smelter Reference List'!$A:$A,MATCH($A1287,'Smelter Reference List'!$E:$E,0)))</f>
        <v/>
      </c>
      <c r="C1287" s="298" t="str">
        <f>IF(LEN(A1287)=0,"",INDEX('Smelter Reference List'!$C:$C,MATCH($A1287,'Smelter Reference List'!$E:$E,0)))</f>
        <v/>
      </c>
      <c r="D1287" s="292" t="str">
        <f ca="1">IF(ISERROR($S1287),"",OFFSET('Smelter Reference List'!$C$4,$S1287-4,0)&amp;"")</f>
        <v/>
      </c>
      <c r="E1287" s="292" t="str">
        <f ca="1">IF(ISERROR($S1287),"",OFFSET('Smelter Reference List'!$D$4,$S1287-4,0)&amp;"")</f>
        <v/>
      </c>
      <c r="F1287" s="292" t="str">
        <f ca="1">IF(ISERROR($S1287),"",OFFSET('Smelter Reference List'!$E$4,$S1287-4,0))</f>
        <v/>
      </c>
      <c r="G1287" s="292" t="str">
        <f ca="1">IF(C1287=$U$4,"Enter smelter details", IF(ISERROR($S1287),"",OFFSET('Smelter Reference List'!$F$4,$S1287-4,0)))</f>
        <v/>
      </c>
      <c r="H1287" s="293" t="str">
        <f ca="1">IF(ISERROR($S1287),"",OFFSET('Smelter Reference List'!$G$4,$S1287-4,0))</f>
        <v/>
      </c>
      <c r="I1287" s="294" t="str">
        <f ca="1">IF(ISERROR($S1287),"",OFFSET('Smelter Reference List'!$H$4,$S1287-4,0))</f>
        <v/>
      </c>
      <c r="J1287" s="294" t="str">
        <f ca="1">IF(ISERROR($S1287),"",OFFSET('Smelter Reference List'!$I$4,$S1287-4,0))</f>
        <v/>
      </c>
      <c r="K1287" s="295"/>
      <c r="L1287" s="295"/>
      <c r="M1287" s="295"/>
      <c r="N1287" s="295"/>
      <c r="O1287" s="295"/>
      <c r="P1287" s="295"/>
      <c r="Q1287" s="296"/>
      <c r="R1287" s="227"/>
      <c r="S1287" s="228" t="e">
        <f>IF(C1287="",NA(),MATCH($B1287&amp;$C1287,'Smelter Reference List'!$J:$J,0))</f>
        <v>#N/A</v>
      </c>
      <c r="T1287" s="229"/>
      <c r="U1287" s="229">
        <f ca="1">IF(AND(C1287="Smelter not listed",OR(LEN(D1287)=0,LEN(E1287)=0)),1,0)</f>
        <v>0</v>
      </c>
      <c r="V1287" s="229"/>
      <c r="W1287" s="229"/>
      <c r="Y1287" s="223" t="str">
        <f>B1287&amp;C1287</f>
        <v/>
      </c>
    </row>
    <row r="1288" spans="1:25" ht="13.5" thickBot="1">
      <c r="A1288" s="238"/>
      <c r="B1288" s="299"/>
      <c r="C1288" s="299"/>
      <c r="D1288" s="205"/>
      <c r="E1288" s="205"/>
      <c r="F1288" s="205"/>
      <c r="G1288" s="205"/>
      <c r="H1288" s="205"/>
      <c r="I1288" s="205"/>
      <c r="J1288" s="205"/>
      <c r="K1288" s="205"/>
      <c r="L1288" s="205"/>
      <c r="M1288" s="205"/>
      <c r="N1288" s="205"/>
      <c r="O1288" s="205"/>
      <c r="P1288" s="205"/>
      <c r="Q1288" s="206"/>
      <c r="R1288" s="203"/>
      <c r="S1288" s="203"/>
      <c r="Y1288" s="223" t="str">
        <f>B1288&amp;C1288</f>
        <v/>
      </c>
    </row>
    <row r="1289" spans="1:25" ht="13.5" thickTop="1">
      <c r="R1289" s="204"/>
      <c r="S1289" s="204"/>
      <c r="T1289" s="204"/>
      <c r="U1289" s="204"/>
      <c r="V1289" s="204"/>
      <c r="W1289" s="204"/>
    </row>
    <row r="1290" spans="1:25">
      <c r="R1290" s="204"/>
      <c r="S1290" s="204"/>
      <c r="T1290" s="204"/>
      <c r="U1290" s="204"/>
      <c r="V1290" s="204"/>
      <c r="W1290" s="204"/>
    </row>
    <row r="1291" spans="1:25">
      <c r="R1291" s="204"/>
      <c r="S1291" s="204"/>
      <c r="T1291" s="204"/>
      <c r="U1291" s="204"/>
      <c r="V1291" s="204"/>
      <c r="W1291" s="204"/>
    </row>
  </sheetData>
  <sheetProtection password="E985" sheet="1" formatRows="0" deleteRows="0"/>
  <dataConsolidate/>
  <mergeCells count="2">
    <mergeCell ref="J2:O2"/>
    <mergeCell ref="B3:E3"/>
  </mergeCells>
  <phoneticPr fontId="31"/>
  <conditionalFormatting sqref="B5:B1287">
    <cfRule type="expression" dxfId="33" priority="4" stopIfTrue="1">
      <formula>IF(B5="",TRUE)</formula>
    </cfRule>
    <cfRule type="expression" dxfId="32" priority="15" stopIfTrue="1">
      <formula>IF(AND(COUNTIF(MetalSmelter,B5&amp;C5)=0,LEN(C5)&gt;0), TRUE, FALSE)</formula>
    </cfRule>
  </conditionalFormatting>
  <conditionalFormatting sqref="D5:E1287">
    <cfRule type="expression" dxfId="31" priority="23" stopIfTrue="1">
      <formula>IF(AND(D5="",$C5=$U$4),TRUE)</formula>
    </cfRule>
    <cfRule type="expression" dxfId="30" priority="24" stopIfTrue="1">
      <formula>IF(FIND("!",D5),TRUE)</formula>
    </cfRule>
  </conditionalFormatting>
  <conditionalFormatting sqref="G5:G1287">
    <cfRule type="expression" dxfId="29" priority="25" stopIfTrue="1">
      <formula>IF(FIND("Enter smelter details",G5),TRUE)</formula>
    </cfRule>
  </conditionalFormatting>
  <conditionalFormatting sqref="F5:F1287">
    <cfRule type="expression" dxfId="28" priority="2" stopIfTrue="1">
      <formula>IF(AND(LEN($A5)&gt;0,$A5&lt;&gt;$F5),TRUE,FALSE)</formula>
    </cfRule>
  </conditionalFormatting>
  <conditionalFormatting sqref="C5:C1287">
    <cfRule type="expression" dxfId="27" priority="1" stopIfTrue="1">
      <formula>IF(AND(B5&lt;&gt;"",C5=""),TRUE)</formula>
    </cfRule>
  </conditionalFormatting>
  <dataValidations count="5">
    <dataValidation type="list" allowBlank="1" showInputMessage="1" showErrorMessage="1" sqref="B5:B1287">
      <formula1>Metal</formula1>
    </dataValidation>
    <dataValidation type="list" allowBlank="1" showInputMessage="1" showErrorMessage="1" sqref="P5:P1287">
      <formula1>"Yes,No"</formula1>
    </dataValidation>
    <dataValidation allowBlank="1" showErrorMessage="1" sqref="F5:G1287"/>
    <dataValidation type="list" allowBlank="1" showInputMessage="1" showErrorMessage="1" sqref="E5:E1287">
      <formula1>CL</formula1>
    </dataValidation>
    <dataValidation type="list" showInputMessage="1" showErrorMessage="1" sqref="C5:C1287">
      <formula1>SN</formula1>
    </dataValidation>
  </dataValidations>
  <hyperlinks>
    <hyperlink ref="J2:O2" r:id="rId1" display="http://www.conflictfreesourcing.org/conflict-free-smelter-refiner-lists/"/>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L70"/>
  <sheetViews>
    <sheetView showGridLines="0" showZeros="0" zoomScale="70" zoomScaleNormal="70" workbookViewId="0">
      <pane xSplit="1" ySplit="3" topLeftCell="B73" activePane="bottomRight" state="frozen"/>
      <selection pane="topRight" activeCell="B1" sqref="B1"/>
      <selection pane="bottomLeft" activeCell="A4" sqref="A4"/>
      <selection pane="bottomRight" activeCell="B4" sqref="B4"/>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09" hidden="1" customWidth="1"/>
    <col min="10" max="11" width="9" style="22" hidden="1" customWidth="1"/>
    <col min="12" max="13" width="8.75" style="22" customWidth="1"/>
    <col min="14" max="16384" width="8.75" style="22"/>
  </cols>
  <sheetData>
    <row r="1" spans="1:10" ht="30">
      <c r="A1" s="395" t="str">
        <f ca="1">OFFSET(L!$C$1,MATCH("Checker"&amp;ADDRESS(ROW(),COLUMN(),4),L!$A:$A,0)-1,SL,,)</f>
        <v>To ensure all required fields have been populated before submitting to your customers review form for any line items highlighted in red</v>
      </c>
      <c r="B1" s="395"/>
      <c r="C1" s="395"/>
      <c r="D1" s="161" t="str">
        <f ca="1">OFFSET(L!$C$1,MATCH("Checker"&amp;ADDRESS(ROW(),COLUMN(),4),L!$A:$A,0)-1,SL,,)</f>
        <v>Required fields remaining to be completed</v>
      </c>
      <c r="E1" s="91" t="s">
        <v>1425</v>
      </c>
    </row>
    <row r="2" spans="1:10" ht="15">
      <c r="A2" s="84" t="s">
        <v>1750</v>
      </c>
      <c r="B2" s="85" t="str">
        <f>IF(F62=1,"Click here to return to Smelter List","")</f>
        <v>Click here to return to Smelter List</v>
      </c>
      <c r="C2" s="165" t="str">
        <f>IF(F61=1,"Click here to return to Product List","")</f>
        <v/>
      </c>
      <c r="D2" s="214" t="str">
        <f ca="1">IF(H67=0,"0",H67)</f>
        <v>0</v>
      </c>
    </row>
    <row r="3" spans="1:10" ht="15">
      <c r="A3" s="86" t="str">
        <f ca="1">OFFSET(L!$C$1,MATCH("Checker"&amp;ADDRESS(ROW(),COLUMN(),4),L!$A:$A,0)-1,SL,,)</f>
        <v>Required Fields</v>
      </c>
      <c r="B3" s="86" t="str">
        <f ca="1">OFFSET(L!$C$1,MATCH("Checker"&amp;ADDRESS(ROW(),COLUMN(),4),L!$A:$A,0)-1,SL,,)</f>
        <v>Answer provided</v>
      </c>
      <c r="C3" s="86" t="str">
        <f ca="1">OFFSET(L!$C$1,MATCH("Checker"&amp;ADDRESS(ROW(),COLUMN(),4),L!$A:$A,0)-1,SL,,)</f>
        <v>Notes</v>
      </c>
      <c r="D3" s="86" t="str">
        <f ca="1">OFFSET(L!$C$1,MATCH("Checker"&amp;ADDRESS(ROW(),COLUMN(),4),L!$A:$A,0)-1,SL,,)</f>
        <v>Hyperlink to source</v>
      </c>
      <c r="F3" s="87" t="s">
        <v>950</v>
      </c>
      <c r="G3" s="22" t="s">
        <v>949</v>
      </c>
      <c r="H3" s="22" t="s">
        <v>951</v>
      </c>
      <c r="I3" s="209" t="s">
        <v>2531</v>
      </c>
      <c r="J3" s="22" t="s">
        <v>2532</v>
      </c>
    </row>
    <row r="4" spans="1:10" ht="39">
      <c r="A4" s="110" t="str">
        <f ca="1">Declaration!B8</f>
        <v>Company Name (*):</v>
      </c>
      <c r="B4" s="109" t="str">
        <f>Declaration!D8</f>
        <v>Matrix Oribtal</v>
      </c>
      <c r="C4" s="109" t="str">
        <f t="shared" ref="C4:C9" ca="1" si="0">IF(H4=1,J4,I4)</f>
        <v>Complete</v>
      </c>
      <c r="D4" s="119" t="str">
        <f>IF(H4=1,"Click here to enter Company Name","")</f>
        <v/>
      </c>
      <c r="E4" s="91" t="s">
        <v>2521</v>
      </c>
      <c r="F4" s="117">
        <v>1</v>
      </c>
      <c r="G4" s="88">
        <f t="shared" ref="G4:G9" si="1">IF(B4=0,1,0)</f>
        <v>0</v>
      </c>
      <c r="H4" s="89">
        <f>F4*G4</f>
        <v>0</v>
      </c>
      <c r="I4" s="210" t="str">
        <f ca="1">OFFSET(L!$C$1,MATCH("Checker"&amp;"Comp",L!$A:$A,0)-1,SL,,)</f>
        <v>Complete</v>
      </c>
      <c r="J4" s="211" t="str">
        <f ca="1">OFFSET(L!$C$1,MATCH("Checker"&amp;ADDRESS(ROW(),COLUMN(),4),L!$A:$A,0)-1,SL,,)</f>
        <v>Provide your company name on the Declaration tab cell D8</v>
      </c>
    </row>
    <row r="5" spans="1:10" ht="39">
      <c r="A5" s="110" t="str">
        <f ca="1">Declaration!B9</f>
        <v>Declaration Scope or Class (*):</v>
      </c>
      <c r="B5" s="109" t="str">
        <f>Declaration!D9</f>
        <v>A. Company</v>
      </c>
      <c r="C5" s="109" t="str">
        <f t="shared" ca="1" si="0"/>
        <v>Complete</v>
      </c>
      <c r="D5" s="119" t="str">
        <f>IF(H5=1,"Click here to enter Declaration Scope","")</f>
        <v/>
      </c>
      <c r="E5" s="91" t="s">
        <v>2521</v>
      </c>
      <c r="F5" s="117">
        <v>1</v>
      </c>
      <c r="G5" s="88">
        <f t="shared" si="1"/>
        <v>0</v>
      </c>
      <c r="H5" s="89">
        <f t="shared" ref="H5:H23" si="2">F5*G5</f>
        <v>0</v>
      </c>
      <c r="I5" s="210" t="str">
        <f ca="1">OFFSET(L!$C$1,MATCH("Checker"&amp;"Comp",L!$A:$A,0)-1,SL,,)</f>
        <v>Complete</v>
      </c>
      <c r="J5" s="211" t="str">
        <f ca="1">OFFSET(L!$C$1,MATCH("Checker"&amp;ADDRESS(ROW(),COLUMN(),4),L!$A:$A,0)-1,SL,,)</f>
        <v>Select the scope of declaration on the Declaration tab cell D9</v>
      </c>
    </row>
    <row r="6" spans="1:10" ht="39">
      <c r="A6" s="110" t="str">
        <f ca="1">Declaration!B10</f>
        <v>Description of Scope:</v>
      </c>
      <c r="B6" s="109">
        <f>Declaration!D10</f>
        <v>0</v>
      </c>
      <c r="C6" s="109" t="str">
        <f t="shared" ca="1" si="0"/>
        <v>Complete</v>
      </c>
      <c r="D6" s="119" t="str">
        <f>IF(H6=1,"Click here to provide a Description of Scope","")</f>
        <v/>
      </c>
      <c r="E6" s="91" t="s">
        <v>2521</v>
      </c>
      <c r="F6" s="118">
        <f>IF(OR(B5=Declaration!P9,B5=Declaration!Q9,B5=0),0,1)</f>
        <v>0</v>
      </c>
      <c r="G6" s="88">
        <f t="shared" si="1"/>
        <v>1</v>
      </c>
      <c r="H6" s="89">
        <f t="shared" si="2"/>
        <v>0</v>
      </c>
      <c r="I6" s="210" t="str">
        <f ca="1">OFFSET(L!$C$1,MATCH("Checker"&amp;"Comp",L!$A:$A,0)-1,SL,,)</f>
        <v>Complete</v>
      </c>
      <c r="J6" s="22" t="str">
        <f ca="1">OFFSET(L!$C$1,MATCH("Checker"&amp;ADDRESS(ROW(),COLUMN(),4),L!$A:$A,0)-1,SL,,)</f>
        <v>Provide description of scope on Declaration tab cell D10</v>
      </c>
    </row>
    <row r="7" spans="1:10" ht="39">
      <c r="A7" s="110" t="str">
        <f ca="1">Declaration!B15</f>
        <v>Contact Name (*):</v>
      </c>
      <c r="B7" s="109" t="str">
        <f>Declaration!D15</f>
        <v>Brian Ingwersen</v>
      </c>
      <c r="C7" s="109" t="str">
        <f t="shared" ca="1" si="0"/>
        <v>Complete</v>
      </c>
      <c r="D7" s="119" t="str">
        <f>IF(H7=1,"Click here to enter Contact Name","")</f>
        <v/>
      </c>
      <c r="E7" s="91" t="s">
        <v>2521</v>
      </c>
      <c r="F7" s="164">
        <v>1</v>
      </c>
      <c r="G7" s="88">
        <f t="shared" si="1"/>
        <v>0</v>
      </c>
      <c r="H7" s="89">
        <f t="shared" si="2"/>
        <v>0</v>
      </c>
      <c r="I7" s="210" t="str">
        <f ca="1">OFFSET(L!$C$1,MATCH("Checker"&amp;"Comp",L!$A:$A,0)-1,SL,,)</f>
        <v>Complete</v>
      </c>
      <c r="J7" s="22" t="str">
        <f ca="1">OFFSET(L!$C$1,MATCH("Checker"&amp;ADDRESS(ROW(),COLUMN(),4),L!$A:$A,0)-1,SL,,)</f>
        <v>Provide contact name in Declaration tab cell D15</v>
      </c>
    </row>
    <row r="8" spans="1:10" ht="39">
      <c r="A8" s="110" t="str">
        <f ca="1">Declaration!B16</f>
        <v>Email – Contact (*):</v>
      </c>
      <c r="B8" s="109" t="str">
        <f>Declaration!D16</f>
        <v>bingwersen@matrixorbital.ca</v>
      </c>
      <c r="C8" s="109" t="str">
        <f t="shared" ca="1" si="0"/>
        <v>Complete</v>
      </c>
      <c r="D8" s="119" t="str">
        <f>IF(H8=1,"Click here to enter Email-Contact","")</f>
        <v/>
      </c>
      <c r="E8" s="91" t="s">
        <v>2521</v>
      </c>
      <c r="F8" s="164">
        <v>1</v>
      </c>
      <c r="G8" s="88">
        <f>IF(ISNUMBER(SEARCH("@",B8)),0,1)</f>
        <v>0</v>
      </c>
      <c r="H8" s="89">
        <f t="shared" si="2"/>
        <v>0</v>
      </c>
      <c r="I8" s="210" t="str">
        <f ca="1">OFFSET(L!$C$1,MATCH("Checker"&amp;"Comp",L!$A:$A,0)-1,SL,,)</f>
        <v>Complete</v>
      </c>
      <c r="J8" s="22" t="str">
        <f ca="1">OFFSET(L!$C$1,MATCH("Checker"&amp;ADDRESS(ROW(),COLUMN(),4),L!$A:$A,0)-1,SL,,)</f>
        <v>Provide a valid email for contact in Declaration tab cell D16</v>
      </c>
    </row>
    <row r="9" spans="1:10" ht="39">
      <c r="A9" s="110" t="str">
        <f ca="1">Declaration!B17</f>
        <v>Phone – Contact (*):</v>
      </c>
      <c r="B9" s="109" t="str">
        <f>Declaration!D17</f>
        <v>403-229-2737</v>
      </c>
      <c r="C9" s="109" t="str">
        <f t="shared" ca="1" si="0"/>
        <v>Complete</v>
      </c>
      <c r="D9" s="119" t="str">
        <f>IF(H9=1,"Click here to enter Phone-Contact","")</f>
        <v/>
      </c>
      <c r="E9" s="91" t="s">
        <v>2521</v>
      </c>
      <c r="F9" s="164">
        <v>1</v>
      </c>
      <c r="G9" s="88">
        <f t="shared" si="1"/>
        <v>0</v>
      </c>
      <c r="H9" s="89">
        <f t="shared" si="2"/>
        <v>0</v>
      </c>
      <c r="I9" s="210" t="str">
        <f ca="1">OFFSET(L!$C$1,MATCH("Checker"&amp;"Comp",L!$A:$A,0)-1,SL,,)</f>
        <v>Complete</v>
      </c>
      <c r="J9" s="22" t="str">
        <f ca="1">OFFSET(L!$C$1,MATCH("Checker"&amp;ADDRESS(ROW(),COLUMN(),4),L!$A:$A,0)-1,SL,,)</f>
        <v>Provide a phone number for contact in Declaration tab cell D17</v>
      </c>
    </row>
    <row r="10" spans="1:10" ht="39">
      <c r="A10" s="110" t="str">
        <f ca="1">Declaration!B18</f>
        <v>Authorizer (*):</v>
      </c>
      <c r="B10" s="109" t="str">
        <f>Declaration!D18</f>
        <v>Brian Ingwersen</v>
      </c>
      <c r="C10" s="109" t="str">
        <f t="shared" ref="C10:C61" ca="1" si="3">IF(H10=1,J10,I10)</f>
        <v>Complete</v>
      </c>
      <c r="D10" s="119" t="str">
        <f>IF(H10=1,"Click here to enter an Authorized Company Representative's name","")</f>
        <v/>
      </c>
      <c r="E10" s="91" t="s">
        <v>2521</v>
      </c>
      <c r="F10" s="117">
        <v>1</v>
      </c>
      <c r="G10" s="88">
        <f t="shared" ref="G10:G23" si="4">IF(B10=0,1,0)</f>
        <v>0</v>
      </c>
      <c r="H10" s="89">
        <f t="shared" si="2"/>
        <v>0</v>
      </c>
      <c r="I10" s="210" t="str">
        <f ca="1">OFFSET(L!$C$1,MATCH("Checker"&amp;"Comp",L!$A:$A,0)-1,SL,,)</f>
        <v>Complete</v>
      </c>
      <c r="J10" s="22" t="str">
        <f ca="1">OFFSET(L!$C$1,MATCH("Checker"&amp;ADDRESS(ROW(),COLUMN(),4),L!$A:$A,0)-1,SL,,)</f>
        <v>Provide authorized company representative contact name in Declaration tab cell D18</v>
      </c>
    </row>
    <row r="11" spans="1:10" ht="39">
      <c r="A11" s="110" t="str">
        <f ca="1">Declaration!B20</f>
        <v>Email - Authorizer (*):</v>
      </c>
      <c r="B11" s="109" t="str">
        <f>Declaration!D20</f>
        <v>bingwersen@matrixorbital.ca</v>
      </c>
      <c r="C11" s="109" t="str">
        <f t="shared" ca="1" si="3"/>
        <v>Complete</v>
      </c>
      <c r="D11" s="119" t="str">
        <f>IF(H11=1,"Click here to enter Representative's email","")</f>
        <v/>
      </c>
      <c r="E11" s="91" t="s">
        <v>2521</v>
      </c>
      <c r="F11" s="117">
        <v>1</v>
      </c>
      <c r="G11" s="88">
        <f>IF(ISNUMBER(SEARCH("@",B11)),0,1)</f>
        <v>0</v>
      </c>
      <c r="H11" s="89">
        <f t="shared" si="2"/>
        <v>0</v>
      </c>
      <c r="I11" s="210" t="str">
        <f ca="1">OFFSET(L!$C$1,MATCH("Checker"&amp;"Comp",L!$A:$A,0)-1,SL,,)</f>
        <v>Complete</v>
      </c>
      <c r="J11" s="22" t="str">
        <f ca="1">OFFSET(L!$C$1,MATCH("Checker"&amp;ADDRESS(ROW(),COLUMN(),4),L!$A:$A,0)-1,SL,,)</f>
        <v>Provide an email for authorized company representative on Declaration tab cell D20</v>
      </c>
    </row>
    <row r="12" spans="1:10" ht="39">
      <c r="A12" s="110" t="str">
        <f ca="1">Declaration!B21</f>
        <v>Phone - Authorizer (*):</v>
      </c>
      <c r="B12" s="109" t="str">
        <f>Declaration!D21</f>
        <v>403-229-2737</v>
      </c>
      <c r="C12" s="109" t="str">
        <f ca="1">IF(H12=1,J12,I12)</f>
        <v>Complete</v>
      </c>
      <c r="D12" s="119" t="str">
        <f>IF(H12=1,"Click here to enter Representative's phone","")</f>
        <v/>
      </c>
      <c r="E12" s="91" t="s">
        <v>2521</v>
      </c>
      <c r="F12" s="117">
        <v>1</v>
      </c>
      <c r="G12" s="88">
        <f>IF(B12=0,1,0)</f>
        <v>0</v>
      </c>
      <c r="H12" s="89">
        <f>F12*G12</f>
        <v>0</v>
      </c>
      <c r="I12" s="210" t="str">
        <f ca="1">OFFSET(L!$C$1,MATCH("Checker"&amp;"Comp",L!$A:$A,0)-1,SL,,)</f>
        <v>Complete</v>
      </c>
      <c r="J12" s="22" t="str">
        <f ca="1">OFFSET(L!$C$1,MATCH("Checker"&amp;ADDRESS(ROW(),COLUMN(),4),L!$A:$A,0)-1,SL,,)</f>
        <v>Provide a phone number for authorized company representative on Declaration tab cell D21</v>
      </c>
    </row>
    <row r="13" spans="1:10" ht="39">
      <c r="A13" s="110" t="str">
        <f ca="1">Declaration!B22</f>
        <v>Effective Date (*):</v>
      </c>
      <c r="B13" s="111">
        <f>Declaration!D22</f>
        <v>42765</v>
      </c>
      <c r="C13" s="109" t="str">
        <f t="shared" ca="1" si="3"/>
        <v>Complete</v>
      </c>
      <c r="D13" s="119" t="str">
        <f>IF(H13=1,"Click here to enter Date of Completion","")</f>
        <v/>
      </c>
      <c r="E13" s="91" t="s">
        <v>2521</v>
      </c>
      <c r="F13" s="117">
        <v>1</v>
      </c>
      <c r="G13" s="88">
        <f t="shared" si="4"/>
        <v>0</v>
      </c>
      <c r="H13" s="89">
        <f t="shared" si="2"/>
        <v>0</v>
      </c>
      <c r="I13" s="210" t="str">
        <f ca="1">OFFSET(L!$C$1,MATCH("Checker"&amp;"Comp",L!$A:$A,0)-1,SL,,)</f>
        <v>Complete</v>
      </c>
      <c r="J13" s="22" t="str">
        <f ca="1">OFFSET(L!$C$1,MATCH("Checker"&amp;ADDRESS(ROW(),COLUMN(),4),L!$A:$A,0)-1,SL,,)</f>
        <v>Provide date the form was completed on Declaration tab cell D22</v>
      </c>
    </row>
    <row r="14" spans="1:10" ht="63.75">
      <c r="A14" s="109" t="str">
        <f ca="1">Declaration!B25</f>
        <v>1) Is the 3TG intentionally added to your product? (*)</v>
      </c>
      <c r="B14" s="112"/>
      <c r="C14" s="112"/>
      <c r="D14" s="120"/>
      <c r="E14" s="91" t="s">
        <v>1429</v>
      </c>
      <c r="F14" s="117"/>
      <c r="G14" s="24"/>
      <c r="H14" s="90">
        <f t="shared" si="2"/>
        <v>0</v>
      </c>
    </row>
    <row r="15" spans="1:10" ht="26.25">
      <c r="A15" s="110" t="str">
        <f ca="1">Declaration!B26</f>
        <v>Tantalum  (*)</v>
      </c>
      <c r="B15" s="109" t="str">
        <f>Declaration!D26</f>
        <v>Yes</v>
      </c>
      <c r="C15" s="109" t="str">
        <f t="shared" ca="1" si="3"/>
        <v>Complete</v>
      </c>
      <c r="D15" s="119" t="str">
        <f>IF(H15=1,"Click here to answer question 1 for Tantalum","")</f>
        <v/>
      </c>
      <c r="E15" s="91" t="s">
        <v>1425</v>
      </c>
      <c r="F15" s="117">
        <v>1</v>
      </c>
      <c r="G15" s="88">
        <f t="shared" si="4"/>
        <v>0</v>
      </c>
      <c r="H15" s="89">
        <f t="shared" si="2"/>
        <v>0</v>
      </c>
      <c r="I15" s="210" t="str">
        <f ca="1">OFFSET(L!$C$1,MATCH("Checker"&amp;"Comp",L!$A:$A,0)-1,SL,,)</f>
        <v>Complete</v>
      </c>
      <c r="J15" s="211" t="str">
        <f ca="1">OFFSET(L!$C$1,MATCH("Checker"&amp;ADDRESS(ROW(),COLUMN(),4),L!$A:$A,0)-1,SL,,)</f>
        <v>Declare if Tantalum is intentionally added to your products on Declaration tab cell D26</v>
      </c>
    </row>
    <row r="16" spans="1:10" ht="39">
      <c r="A16" s="110" t="str">
        <f ca="1">Declaration!B27</f>
        <v>Tin  (*)</v>
      </c>
      <c r="B16" s="109" t="str">
        <f>Declaration!D27</f>
        <v>Yes</v>
      </c>
      <c r="C16" s="109" t="str">
        <f t="shared" ca="1" si="3"/>
        <v>Complete</v>
      </c>
      <c r="D16" s="119" t="str">
        <f>IF(H16=1,"Click here to answer question 1 for Tin","")</f>
        <v/>
      </c>
      <c r="E16" s="91" t="s">
        <v>1426</v>
      </c>
      <c r="F16" s="117">
        <v>1</v>
      </c>
      <c r="G16" s="88">
        <f t="shared" si="4"/>
        <v>0</v>
      </c>
      <c r="H16" s="89">
        <f t="shared" si="2"/>
        <v>0</v>
      </c>
      <c r="I16" s="210" t="str">
        <f ca="1">OFFSET(L!$C$1,MATCH("Checker"&amp;"Comp",L!$A:$A,0)-1,SL,,)</f>
        <v>Complete</v>
      </c>
      <c r="J16" s="211" t="str">
        <f ca="1">OFFSET(L!$C$1,MATCH("Checker"&amp;ADDRESS(ROW(),COLUMN(),4),L!$A:$A,0)-1,SL,,)</f>
        <v>Declare if Tin is intentionally added to your products on Declaration tab cell D27</v>
      </c>
    </row>
    <row r="17" spans="1:10" ht="39">
      <c r="A17" s="110" t="str">
        <f ca="1">Declaration!B28</f>
        <v>Gold  (*)</v>
      </c>
      <c r="B17" s="109" t="str">
        <f>Declaration!D28</f>
        <v>Yes</v>
      </c>
      <c r="C17" s="109" t="str">
        <f t="shared" ca="1" si="3"/>
        <v>Complete</v>
      </c>
      <c r="D17" s="119" t="str">
        <f>IF(H17=1,"Click here to answer question 1 for Gold","")</f>
        <v/>
      </c>
      <c r="E17" s="91" t="s">
        <v>1426</v>
      </c>
      <c r="F17" s="117">
        <v>1</v>
      </c>
      <c r="G17" s="88">
        <f t="shared" si="4"/>
        <v>0</v>
      </c>
      <c r="H17" s="89">
        <f t="shared" si="2"/>
        <v>0</v>
      </c>
      <c r="I17" s="210" t="str">
        <f ca="1">OFFSET(L!$C$1,MATCH("Checker"&amp;"Comp",L!$A:$A,0)-1,SL,,)</f>
        <v>Complete</v>
      </c>
      <c r="J17" s="211" t="str">
        <f ca="1">OFFSET(L!$C$1,MATCH("Checker"&amp;ADDRESS(ROW(),COLUMN(),4),L!$A:$A,0)-1,SL,,)</f>
        <v>Declare if Gold is intentionally added to your products on Declaration tab cell D28</v>
      </c>
    </row>
    <row r="18" spans="1:10" ht="39">
      <c r="A18" s="110" t="str">
        <f ca="1">Declaration!B29</f>
        <v>Tungsten  (*)</v>
      </c>
      <c r="B18" s="109" t="str">
        <f>Declaration!D29</f>
        <v>No</v>
      </c>
      <c r="C18" s="109" t="str">
        <f t="shared" ca="1" si="3"/>
        <v>Complete</v>
      </c>
      <c r="D18" s="119" t="str">
        <f>IF(H18=1,"Click here to answer question 1 for Tungsten","")</f>
        <v/>
      </c>
      <c r="E18" s="91" t="s">
        <v>1426</v>
      </c>
      <c r="F18" s="117">
        <v>1</v>
      </c>
      <c r="G18" s="88">
        <f t="shared" si="4"/>
        <v>0</v>
      </c>
      <c r="H18" s="89">
        <f t="shared" si="2"/>
        <v>0</v>
      </c>
      <c r="I18" s="210" t="str">
        <f ca="1">OFFSET(L!$C$1,MATCH("Checker"&amp;"Comp",L!$A:$A,0)-1,SL,,)</f>
        <v>Complete</v>
      </c>
      <c r="J18" s="211" t="str">
        <f ca="1">OFFSET(L!$C$1,MATCH("Checker"&amp;ADDRESS(ROW(),COLUMN(),4),L!$A:$A,0)-1,SL,,)</f>
        <v>Declare if Tungsten is intentionally added to your products on Declaration tab cell D29</v>
      </c>
    </row>
    <row r="19" spans="1:10" ht="51">
      <c r="A19" s="109" t="str">
        <f ca="1">Declaration!B31</f>
        <v>2) Is the 3TG necessary to the production of your company’s products and contained in the finished product that your company manufactures or contracts to manufacture?  (*)</v>
      </c>
      <c r="B19" s="112"/>
      <c r="C19" s="112"/>
      <c r="D19" s="120"/>
      <c r="E19" s="91" t="s">
        <v>1427</v>
      </c>
      <c r="F19" s="117"/>
      <c r="G19" s="24"/>
      <c r="H19" s="24"/>
      <c r="J19" s="211"/>
    </row>
    <row r="20" spans="1:10" ht="39">
      <c r="A20" s="110" t="str">
        <f ca="1">Declaration!B32</f>
        <v>Tantalum  (*)</v>
      </c>
      <c r="B20" s="109" t="str">
        <f>Declaration!D32</f>
        <v>Yes</v>
      </c>
      <c r="C20" s="109" t="str">
        <f t="shared" ca="1" si="3"/>
        <v>Complete</v>
      </c>
      <c r="D20" s="121" t="str">
        <f>IF(H20=1,"Click here to answer question 2 for Tantalum","")</f>
        <v/>
      </c>
      <c r="E20" s="91" t="s">
        <v>1426</v>
      </c>
      <c r="F20" s="117">
        <v>1</v>
      </c>
      <c r="G20" s="88">
        <f t="shared" si="4"/>
        <v>0</v>
      </c>
      <c r="H20" s="89">
        <f t="shared" si="2"/>
        <v>0</v>
      </c>
      <c r="I20" s="210" t="str">
        <f ca="1">OFFSET(L!$C$1,MATCH("Checker"&amp;"Comp",L!$A:$A,0)-1,SL,,)</f>
        <v>Complete</v>
      </c>
      <c r="J20" s="211" t="str">
        <f ca="1">OFFSET(L!$C$1,MATCH("Checker"&amp;ADDRESS(ROW(),COLUMN(),4),L!$A:$A,0)-1,SL,,)</f>
        <v>Declare if Tantalum is necessary to the production of your products and contained within the finished products declared in Declaration tab cell D32</v>
      </c>
    </row>
    <row r="21" spans="1:10" ht="39">
      <c r="A21" s="110" t="str">
        <f ca="1">Declaration!B33</f>
        <v>Tin  (*)</v>
      </c>
      <c r="B21" s="109" t="str">
        <f>Declaration!D33</f>
        <v>Yes</v>
      </c>
      <c r="C21" s="109" t="str">
        <f t="shared" ca="1" si="3"/>
        <v>Complete</v>
      </c>
      <c r="D21" s="121" t="str">
        <f>IF(H21=1,"Click here to answer question 2 for Tin","")</f>
        <v/>
      </c>
      <c r="E21" s="91" t="s">
        <v>1426</v>
      </c>
      <c r="F21" s="117">
        <v>1</v>
      </c>
      <c r="G21" s="88">
        <f t="shared" si="4"/>
        <v>0</v>
      </c>
      <c r="H21" s="89">
        <f t="shared" si="2"/>
        <v>0</v>
      </c>
      <c r="I21" s="210" t="str">
        <f ca="1">OFFSET(L!$C$1,MATCH("Checker"&amp;"Comp",L!$A:$A,0)-1,SL,,)</f>
        <v>Complete</v>
      </c>
      <c r="J21" s="211" t="str">
        <f ca="1">OFFSET(L!$C$1,MATCH("Checker"&amp;ADDRESS(ROW(),COLUMN(),4),L!$A:$A,0)-1,SL,,)</f>
        <v>Declare if Tin is necessary to the production of your products and contained within the finished products declared in Declaration tab cell D33</v>
      </c>
    </row>
    <row r="22" spans="1:10" ht="39">
      <c r="A22" s="110" t="str">
        <f ca="1">Declaration!B34</f>
        <v>Gold  (*)</v>
      </c>
      <c r="B22" s="109" t="str">
        <f>Declaration!D34</f>
        <v>Yes</v>
      </c>
      <c r="C22" s="109" t="str">
        <f t="shared" ca="1" si="3"/>
        <v>Complete</v>
      </c>
      <c r="D22" s="121" t="str">
        <f>IF(H22=1,"Click here to answer question 2 for Gold","")</f>
        <v/>
      </c>
      <c r="E22" s="91" t="s">
        <v>1426</v>
      </c>
      <c r="F22" s="117">
        <v>1</v>
      </c>
      <c r="G22" s="88">
        <f t="shared" si="4"/>
        <v>0</v>
      </c>
      <c r="H22" s="89">
        <f t="shared" si="2"/>
        <v>0</v>
      </c>
      <c r="I22" s="210" t="str">
        <f ca="1">OFFSET(L!$C$1,MATCH("Checker"&amp;"Comp",L!$A:$A,0)-1,SL,,)</f>
        <v>Complete</v>
      </c>
      <c r="J22" s="211" t="str">
        <f ca="1">OFFSET(L!$C$1,MATCH("Checker"&amp;ADDRESS(ROW(),COLUMN(),4),L!$A:$A,0)-1,SL,,)</f>
        <v>Declare if Gold is necessary to the production of your products and contained within the finished products declared in Declaration tab cell D34</v>
      </c>
    </row>
    <row r="23" spans="1:10" ht="39">
      <c r="A23" s="110" t="str">
        <f ca="1">Declaration!B35</f>
        <v>Tungsten  (*)</v>
      </c>
      <c r="B23" s="109" t="str">
        <f>Declaration!D35</f>
        <v>No</v>
      </c>
      <c r="C23" s="109" t="str">
        <f t="shared" ca="1" si="3"/>
        <v>Complete</v>
      </c>
      <c r="D23" s="121" t="str">
        <f>IF(H23=1,"Click here to answer question 2 for Tungsten","")</f>
        <v/>
      </c>
      <c r="E23" s="91" t="s">
        <v>1426</v>
      </c>
      <c r="F23" s="117">
        <v>1</v>
      </c>
      <c r="G23" s="88">
        <f t="shared" si="4"/>
        <v>0</v>
      </c>
      <c r="H23" s="89">
        <f t="shared" si="2"/>
        <v>0</v>
      </c>
      <c r="I23" s="210" t="str">
        <f ca="1">OFFSET(L!$C$1,MATCH("Checker"&amp;"Comp",L!$A:$A,0)-1,SL,,)</f>
        <v>Complete</v>
      </c>
      <c r="J23" s="211" t="str">
        <f ca="1">OFFSET(L!$C$1,MATCH("Checker"&amp;ADDRESS(ROW(),COLUMN(),4),L!$A:$A,0)-1,SL,,)</f>
        <v>Declare if Tungsten is necessary to the production of your products and contained within the finished products declared in Declaration tab cell D35</v>
      </c>
    </row>
    <row r="24" spans="1:10" ht="38.25">
      <c r="A24" s="109" t="str">
        <f ca="1">Declaration!B37</f>
        <v>3) Do any of the smelters in your supply chain source the 3TG from the covered countries? (SEC term, see definitions tab) (*)</v>
      </c>
      <c r="B24" s="112"/>
      <c r="C24" s="112"/>
      <c r="D24" s="120"/>
      <c r="E24" s="91" t="s">
        <v>1426</v>
      </c>
      <c r="F24" s="117"/>
      <c r="G24" s="24"/>
      <c r="H24" s="24"/>
      <c r="J24" s="211"/>
    </row>
    <row r="25" spans="1:10" ht="51">
      <c r="A25" s="110" t="str">
        <f ca="1">Declaration!B38</f>
        <v>Tantalum  (*)</v>
      </c>
      <c r="B25" s="109" t="str">
        <f>Declaration!D38</f>
        <v>No</v>
      </c>
      <c r="C25" s="109" t="str">
        <f t="shared" ca="1" si="3"/>
        <v>Complete</v>
      </c>
      <c r="D25" s="121" t="str">
        <f>IF(H25=1,"Click here to answer question 3 for Tantalum","")</f>
        <v/>
      </c>
      <c r="E25" s="91" t="s">
        <v>1426</v>
      </c>
      <c r="F25" s="118">
        <f>IF(AND(B$15="No",B$20="No"),0,1)</f>
        <v>1</v>
      </c>
      <c r="G25" s="88">
        <f t="shared" ref="G25:G60" si="5">IF(B25=0,1,0)</f>
        <v>0</v>
      </c>
      <c r="H25" s="89">
        <f t="shared" ref="H25:H61" si="6">F25*G25</f>
        <v>0</v>
      </c>
      <c r="I25" s="210"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0" t="str">
        <f ca="1">Declaration!B39</f>
        <v>Tin  (*)</v>
      </c>
      <c r="B26" s="109" t="str">
        <f>Declaration!D39</f>
        <v>No</v>
      </c>
      <c r="C26" s="109" t="str">
        <f t="shared" ca="1" si="3"/>
        <v>Complete</v>
      </c>
      <c r="D26" s="121" t="str">
        <f>IF(H26=1,"Click here to answer question 3 for Tin","")</f>
        <v/>
      </c>
      <c r="E26" s="91" t="s">
        <v>1426</v>
      </c>
      <c r="F26" s="118">
        <f>IF(AND(B$16="No",B$21="No"),0,1)</f>
        <v>1</v>
      </c>
      <c r="G26" s="88">
        <f t="shared" si="5"/>
        <v>0</v>
      </c>
      <c r="H26" s="89">
        <f t="shared" si="6"/>
        <v>0</v>
      </c>
      <c r="I26" s="210"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0" t="str">
        <f ca="1">Declaration!B40</f>
        <v>Gold  (*)</v>
      </c>
      <c r="B27" s="109" t="str">
        <f>Declaration!D40</f>
        <v>No</v>
      </c>
      <c r="C27" s="109" t="str">
        <f t="shared" ca="1" si="3"/>
        <v>Complete</v>
      </c>
      <c r="D27" s="121" t="str">
        <f>IF(H27=1,"Click here to answer question 3 for Gold","")</f>
        <v/>
      </c>
      <c r="E27" s="91" t="s">
        <v>1426</v>
      </c>
      <c r="F27" s="118">
        <f>IF(AND(B$17="No",B$22="No"),0,1)</f>
        <v>1</v>
      </c>
      <c r="G27" s="88">
        <f t="shared" si="5"/>
        <v>0</v>
      </c>
      <c r="H27" s="89">
        <f t="shared" si="6"/>
        <v>0</v>
      </c>
      <c r="I27" s="210"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51">
      <c r="A28" s="110" t="str">
        <f ca="1">Declaration!B41</f>
        <v xml:space="preserve">Tungsten  </v>
      </c>
      <c r="B28" s="109">
        <f>Declaration!D41</f>
        <v>0</v>
      </c>
      <c r="C28" s="109" t="str">
        <f t="shared" ca="1" si="3"/>
        <v>Complete</v>
      </c>
      <c r="D28" s="121" t="str">
        <f>IF(H28=1,"Click here to answer question 3 for Tungsten","")</f>
        <v/>
      </c>
      <c r="E28" s="91" t="s">
        <v>1426</v>
      </c>
      <c r="F28" s="118">
        <f>IF(AND(B$18="No",B$23="No"),0,1)</f>
        <v>0</v>
      </c>
      <c r="G28" s="88">
        <f t="shared" si="5"/>
        <v>1</v>
      </c>
      <c r="H28" s="89">
        <f t="shared" si="6"/>
        <v>0</v>
      </c>
      <c r="I28" s="210"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09" t="str">
        <f ca="1">Declaration!B43</f>
        <v>4) Does 100 percent of the 3TG (necessary to the functionality or production of your products) originate from recycled or scrap sources?  (*)</v>
      </c>
      <c r="B29" s="112"/>
      <c r="C29" s="112"/>
      <c r="D29" s="120"/>
      <c r="E29" s="91" t="s">
        <v>2521</v>
      </c>
      <c r="F29" s="117"/>
      <c r="G29" s="24"/>
      <c r="H29" s="24"/>
      <c r="J29" s="211"/>
    </row>
    <row r="30" spans="1:10" ht="51">
      <c r="A30" s="110" t="str">
        <f ca="1">Declaration!B44</f>
        <v>Tantalum  (*)</v>
      </c>
      <c r="B30" s="109" t="str">
        <f>Declaration!D44</f>
        <v>Unknown</v>
      </c>
      <c r="C30" s="109" t="str">
        <f ca="1">IF(H30=1,J30,I30)</f>
        <v>Complete</v>
      </c>
      <c r="D30" s="121" t="str">
        <f>IF(H30=1,"Click here to answer question 4 for Tantalum","")</f>
        <v/>
      </c>
      <c r="E30" s="91" t="s">
        <v>2521</v>
      </c>
      <c r="F30" s="118">
        <f>F25</f>
        <v>1</v>
      </c>
      <c r="G30" s="88">
        <f>IF(B30=0,1,0)</f>
        <v>0</v>
      </c>
      <c r="H30" s="89">
        <f>F30*G30</f>
        <v>0</v>
      </c>
      <c r="I30" s="210" t="str">
        <f ca="1">OFFSET(L!$C$1,MATCH("Checker"&amp;"Comp",L!$A:$A,0)-1,SL,,)</f>
        <v>Complete</v>
      </c>
      <c r="J30" s="211" t="str">
        <f ca="1">OFFSET(L!$C$1,MATCH("Checker"&amp;ADDRESS(ROW(),COLUMN(),4),L!$A:$A,0)-1,SL,,)</f>
        <v>Declare if Tantalum used within the scope of products declared within this survey response originated entirely from a recycled or scrap source on the Declaration tab cell D44</v>
      </c>
    </row>
    <row r="31" spans="1:10" ht="39">
      <c r="A31" s="110" t="str">
        <f ca="1">Declaration!B45</f>
        <v>Tin  (*)</v>
      </c>
      <c r="B31" s="109" t="str">
        <f>Declaration!D45</f>
        <v>Unknown</v>
      </c>
      <c r="C31" s="109" t="str">
        <f ca="1">IF(H31=1,J31,I31)</f>
        <v>Complete</v>
      </c>
      <c r="D31" s="121" t="str">
        <f>IF(H31=1,"Click here to answer question 4 for Tin","")</f>
        <v/>
      </c>
      <c r="E31" s="91" t="s">
        <v>2521</v>
      </c>
      <c r="F31" s="118">
        <f>F26</f>
        <v>1</v>
      </c>
      <c r="G31" s="88">
        <f>IF(B31=0,1,0)</f>
        <v>0</v>
      </c>
      <c r="H31" s="89">
        <f>F31*G31</f>
        <v>0</v>
      </c>
      <c r="I31" s="210" t="str">
        <f ca="1">OFFSET(L!$C$1,MATCH("Checker"&amp;"Comp",L!$A:$A,0)-1,SL,,)</f>
        <v>Complete</v>
      </c>
      <c r="J31" s="211" t="str">
        <f ca="1">OFFSET(L!$C$1,MATCH("Checker"&amp;ADDRESS(ROW(),COLUMN(),4),L!$A:$A,0)-1,SL,,)</f>
        <v>Declare if Tin used within the scope of products declared within this survey response originated entirely from a recycled or scrap source on the Declaration tab cell D45</v>
      </c>
    </row>
    <row r="32" spans="1:10" ht="39">
      <c r="A32" s="110" t="str">
        <f ca="1">Declaration!B46</f>
        <v>Gold  (*)</v>
      </c>
      <c r="B32" s="109" t="str">
        <f>Declaration!D46</f>
        <v>Unknown</v>
      </c>
      <c r="C32" s="109" t="str">
        <f ca="1">IF(H32=1,J32,I32)</f>
        <v>Complete</v>
      </c>
      <c r="D32" s="121" t="str">
        <f>IF(H32=1,"Click here to answer question 4 for Gold","")</f>
        <v/>
      </c>
      <c r="E32" s="91" t="s">
        <v>2521</v>
      </c>
      <c r="F32" s="118">
        <f>F27</f>
        <v>1</v>
      </c>
      <c r="G32" s="88">
        <f>IF(B32=0,1,0)</f>
        <v>0</v>
      </c>
      <c r="H32" s="89">
        <f>F32*G32</f>
        <v>0</v>
      </c>
      <c r="I32" s="210" t="str">
        <f ca="1">OFFSET(L!$C$1,MATCH("Checker"&amp;"Comp",L!$A:$A,0)-1,SL,,)</f>
        <v>Complete</v>
      </c>
      <c r="J32" s="211" t="str">
        <f ca="1">OFFSET(L!$C$1,MATCH("Checker"&amp;ADDRESS(ROW(),COLUMN(),4),L!$A:$A,0)-1,SL,,)</f>
        <v>Declare if Gold used within the scope of products declared within this survey response originated entirely from a recycled or scrap source on the Declaration tab cell D46</v>
      </c>
    </row>
    <row r="33" spans="1:10" ht="51">
      <c r="A33" s="110" t="str">
        <f ca="1">Declaration!B47</f>
        <v xml:space="preserve">Tungsten  </v>
      </c>
      <c r="B33" s="109">
        <f>Declaration!D47</f>
        <v>0</v>
      </c>
      <c r="C33" s="109" t="str">
        <f ca="1">IF(H33=1,J33,I33)</f>
        <v>Complete</v>
      </c>
      <c r="D33" s="121" t="str">
        <f>IF(H33=1,"Click here to answer question 4 for Tungsten","")</f>
        <v/>
      </c>
      <c r="E33" s="91" t="s">
        <v>2521</v>
      </c>
      <c r="F33" s="118">
        <f>F28</f>
        <v>0</v>
      </c>
      <c r="G33" s="88">
        <f>IF(B33=0,1,0)</f>
        <v>1</v>
      </c>
      <c r="H33" s="89">
        <f>F33*G33</f>
        <v>0</v>
      </c>
      <c r="I33" s="210" t="str">
        <f ca="1">OFFSET(L!$C$1,MATCH("Checker"&amp;"Comp",L!$A:$A,0)-1,SL,,)</f>
        <v>Complete</v>
      </c>
      <c r="J33" s="211" t="str">
        <f ca="1">OFFSET(L!$C$1,MATCH("Checker"&amp;ADDRESS(ROW(),COLUMN(),4),L!$A:$A,0)-1,SL,,)</f>
        <v>Declare if Tungsten used within the scope of products declared within this survey response originated entirely from a recycled or scrap source on the Declaration tab cell D47</v>
      </c>
    </row>
    <row r="34" spans="1:10" ht="38.25">
      <c r="A34" s="109" t="str">
        <f ca="1">Declaration!B49</f>
        <v>5) Have you received data/information for each 3TG from all relevant suppliers? (*)</v>
      </c>
      <c r="B34" s="112"/>
      <c r="C34" s="112"/>
      <c r="D34" s="120"/>
      <c r="E34" s="91" t="s">
        <v>1426</v>
      </c>
      <c r="F34" s="117"/>
      <c r="G34" s="24"/>
      <c r="H34" s="24"/>
    </row>
    <row r="35" spans="1:10" ht="26.25">
      <c r="A35" s="110" t="str">
        <f ca="1">Declaration!B50</f>
        <v>Tantalum  (*)</v>
      </c>
      <c r="B35" s="109" t="str">
        <f>Declaration!D50</f>
        <v>Yes, 100%</v>
      </c>
      <c r="C35" s="109" t="str">
        <f t="shared" ca="1" si="3"/>
        <v>Complete</v>
      </c>
      <c r="D35" s="119" t="str">
        <f>IF(H35=1,"Click here to answer question 5 for Tantalum","")</f>
        <v/>
      </c>
      <c r="E35" s="91" t="s">
        <v>1425</v>
      </c>
      <c r="F35" s="118">
        <f>F25</f>
        <v>1</v>
      </c>
      <c r="G35" s="88">
        <f t="shared" si="5"/>
        <v>0</v>
      </c>
      <c r="H35" s="89">
        <f t="shared" si="6"/>
        <v>0</v>
      </c>
      <c r="I35" s="210" t="str">
        <f ca="1">OFFSET(L!$C$1,MATCH("Checker"&amp;"Comp",L!$A:$A,0)-1,SL,,)</f>
        <v>Complete</v>
      </c>
      <c r="J35" s="22" t="str">
        <f ca="1">OFFSET(L!$C$1,MATCH("Checker"&amp;ADDRESS(ROW(),COLUMN(),4),L!$A:$A,0)-1,SL,,)</f>
        <v>Provide % of completeness of supplier's smelter information on Declaration tab cell D50</v>
      </c>
    </row>
    <row r="36" spans="1:10" ht="26.25">
      <c r="A36" s="110" t="str">
        <f ca="1">Declaration!B51</f>
        <v>Tin  (*)</v>
      </c>
      <c r="B36" s="109" t="str">
        <f>Declaration!D51</f>
        <v>Yes, 100%</v>
      </c>
      <c r="C36" s="109" t="str">
        <f t="shared" ca="1" si="3"/>
        <v>Complete</v>
      </c>
      <c r="D36" s="119" t="str">
        <f>IF(H36=1,"Click here to answer question 5 for Tin","")</f>
        <v/>
      </c>
      <c r="E36" s="91" t="s">
        <v>1425</v>
      </c>
      <c r="F36" s="118">
        <f>F26</f>
        <v>1</v>
      </c>
      <c r="G36" s="88">
        <f t="shared" si="5"/>
        <v>0</v>
      </c>
      <c r="H36" s="89">
        <f t="shared" si="6"/>
        <v>0</v>
      </c>
      <c r="I36" s="210" t="str">
        <f ca="1">OFFSET(L!$C$1,MATCH("Checker"&amp;"Comp",L!$A:$A,0)-1,SL,,)</f>
        <v>Complete</v>
      </c>
      <c r="J36" s="22" t="str">
        <f ca="1">OFFSET(L!$C$1,MATCH("Checker"&amp;ADDRESS(ROW(),COLUMN(),4),L!$A:$A,0)-1,SL,,)</f>
        <v>Provide % of completeness of supplier's smelter information on Declaration tab cell D51</v>
      </c>
    </row>
    <row r="37" spans="1:10" ht="26.25">
      <c r="A37" s="110" t="str">
        <f ca="1">Declaration!B52</f>
        <v>Gold  (*)</v>
      </c>
      <c r="B37" s="109" t="str">
        <f>Declaration!D52</f>
        <v>Yes, 100%</v>
      </c>
      <c r="C37" s="109" t="str">
        <f t="shared" ca="1" si="3"/>
        <v>Complete</v>
      </c>
      <c r="D37" s="119" t="str">
        <f>IF(H37=1,"Click here to answer question 5 for Gold","")</f>
        <v/>
      </c>
      <c r="E37" s="91" t="s">
        <v>1425</v>
      </c>
      <c r="F37" s="118">
        <f>F27</f>
        <v>1</v>
      </c>
      <c r="G37" s="88">
        <f t="shared" si="5"/>
        <v>0</v>
      </c>
      <c r="H37" s="89">
        <f t="shared" si="6"/>
        <v>0</v>
      </c>
      <c r="I37" s="210" t="str">
        <f ca="1">OFFSET(L!$C$1,MATCH("Checker"&amp;"Comp",L!$A:$A,0)-1,SL,,)</f>
        <v>Complete</v>
      </c>
      <c r="J37" s="22" t="str">
        <f ca="1">OFFSET(L!$C$1,MATCH("Checker"&amp;ADDRESS(ROW(),COLUMN(),4),L!$A:$A,0)-1,SL,,)</f>
        <v>Provide % of completeness of supplier's smelter information on Declaration tab cell D52</v>
      </c>
    </row>
    <row r="38" spans="1:10" ht="26.25">
      <c r="A38" s="110" t="str">
        <f ca="1">Declaration!B53</f>
        <v xml:space="preserve">Tungsten  </v>
      </c>
      <c r="B38" s="109">
        <f>Declaration!D53</f>
        <v>0</v>
      </c>
      <c r="C38" s="109" t="str">
        <f t="shared" ca="1" si="3"/>
        <v>Complete</v>
      </c>
      <c r="D38" s="119" t="str">
        <f>IF(H38=1,"Click here to answer question 5 for Tungsten","")</f>
        <v/>
      </c>
      <c r="E38" s="91" t="s">
        <v>1425</v>
      </c>
      <c r="F38" s="118">
        <f>F28</f>
        <v>0</v>
      </c>
      <c r="G38" s="88">
        <f t="shared" si="5"/>
        <v>1</v>
      </c>
      <c r="H38" s="89">
        <f t="shared" si="6"/>
        <v>0</v>
      </c>
      <c r="I38" s="210" t="str">
        <f ca="1">OFFSET(L!$C$1,MATCH("Checker"&amp;"Comp",L!$A:$A,0)-1,SL,,)</f>
        <v>Complete</v>
      </c>
      <c r="J38" s="22" t="str">
        <f ca="1">OFFSET(L!$C$1,MATCH("Checker"&amp;ADDRESS(ROW(),COLUMN(),4),L!$A:$A,0)-1,SL,,)</f>
        <v>Provide % of completeness of supplier's smelter information on Declaration tab cell D53</v>
      </c>
    </row>
    <row r="39" spans="1:10" ht="51">
      <c r="A39" s="109" t="str">
        <f ca="1">Declaration!B55</f>
        <v>6) Have you identified all of the smelters supplying the 3TG to your supply chain?  (*)</v>
      </c>
      <c r="B39" s="112"/>
      <c r="C39" s="112"/>
      <c r="D39" s="120"/>
      <c r="E39" s="91" t="s">
        <v>1427</v>
      </c>
      <c r="F39" s="117"/>
      <c r="G39" s="24"/>
      <c r="H39" s="24"/>
    </row>
    <row r="40" spans="1:10" ht="51.75">
      <c r="A40" s="110" t="str">
        <f ca="1">Declaration!B56</f>
        <v>Tantalum  (*)</v>
      </c>
      <c r="B40" s="109" t="str">
        <f>Declaration!D56</f>
        <v>No</v>
      </c>
      <c r="C40" s="109" t="str">
        <f t="shared" ca="1" si="3"/>
        <v>Complete</v>
      </c>
      <c r="D40" s="121" t="str">
        <f>IF(H40=1,"Click here to answer question 6 for Tantalum","")</f>
        <v/>
      </c>
      <c r="E40" s="91" t="s">
        <v>2517</v>
      </c>
      <c r="F40" s="118">
        <f>F25</f>
        <v>1</v>
      </c>
      <c r="G40" s="88">
        <f t="shared" si="5"/>
        <v>0</v>
      </c>
      <c r="H40" s="89">
        <f t="shared" si="6"/>
        <v>0</v>
      </c>
      <c r="I40" s="210"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0" t="str">
        <f ca="1">Declaration!B57</f>
        <v>Tin  (*)</v>
      </c>
      <c r="B41" s="109" t="str">
        <f>Declaration!D57</f>
        <v>No</v>
      </c>
      <c r="C41" s="109" t="str">
        <f t="shared" ca="1" si="3"/>
        <v>Complete</v>
      </c>
      <c r="D41" s="121" t="str">
        <f>IF(H41=1,"Click here to answer question 6 for Tin","")</f>
        <v/>
      </c>
      <c r="E41" s="91" t="s">
        <v>2517</v>
      </c>
      <c r="F41" s="118">
        <f>F26</f>
        <v>1</v>
      </c>
      <c r="G41" s="88">
        <f t="shared" si="5"/>
        <v>0</v>
      </c>
      <c r="H41" s="89">
        <f t="shared" si="6"/>
        <v>0</v>
      </c>
      <c r="I41" s="210"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0" t="str">
        <f ca="1">Declaration!B58</f>
        <v>Gold  (*)</v>
      </c>
      <c r="B42" s="109" t="str">
        <f>Declaration!D58</f>
        <v>No</v>
      </c>
      <c r="C42" s="109" t="str">
        <f t="shared" ca="1" si="3"/>
        <v>Complete</v>
      </c>
      <c r="D42" s="121" t="str">
        <f>IF(H42=1,"Click here to answer question 6 for Gold","")</f>
        <v/>
      </c>
      <c r="E42" s="91" t="s">
        <v>2517</v>
      </c>
      <c r="F42" s="118">
        <f>F27</f>
        <v>1</v>
      </c>
      <c r="G42" s="88">
        <f t="shared" si="5"/>
        <v>0</v>
      </c>
      <c r="H42" s="89">
        <f t="shared" si="6"/>
        <v>0</v>
      </c>
      <c r="I42" s="210"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0" t="str">
        <f ca="1">Declaration!B59</f>
        <v xml:space="preserve">Tungsten  </v>
      </c>
      <c r="B43" s="109">
        <f>Declaration!D59</f>
        <v>0</v>
      </c>
      <c r="C43" s="109" t="str">
        <f t="shared" ca="1" si="3"/>
        <v>Complete</v>
      </c>
      <c r="D43" s="121" t="str">
        <f>IF(H43=1,"Click here to answer question 6 for Tungsten","")</f>
        <v/>
      </c>
      <c r="E43" s="91" t="s">
        <v>2517</v>
      </c>
      <c r="F43" s="118">
        <f>F28</f>
        <v>0</v>
      </c>
      <c r="G43" s="88">
        <f t="shared" si="5"/>
        <v>1</v>
      </c>
      <c r="H43" s="89">
        <f t="shared" si="6"/>
        <v>0</v>
      </c>
      <c r="I43" s="210"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09" t="str">
        <f ca="1">Declaration!B61</f>
        <v>7) Has all applicable smelter information received by your company been reported in this declaration?  (*)</v>
      </c>
      <c r="B44" s="112"/>
      <c r="C44" s="112"/>
      <c r="D44" s="120"/>
      <c r="E44" s="91" t="s">
        <v>1428</v>
      </c>
      <c r="F44" s="117"/>
      <c r="G44" s="24"/>
      <c r="H44" s="24"/>
    </row>
    <row r="45" spans="1:10" ht="39">
      <c r="A45" s="110" t="str">
        <f ca="1">Declaration!B62</f>
        <v>Tantalum  (*)</v>
      </c>
      <c r="B45" s="109" t="str">
        <f>Declaration!D62</f>
        <v>Yes</v>
      </c>
      <c r="C45" s="109" t="str">
        <f t="shared" ca="1" si="3"/>
        <v>Complete</v>
      </c>
      <c r="D45" s="122" t="str">
        <f>IF(H45=1,"Click here to answer question 7 for Tantalum","")</f>
        <v/>
      </c>
      <c r="E45" s="91" t="s">
        <v>1426</v>
      </c>
      <c r="F45" s="118">
        <f>F25</f>
        <v>1</v>
      </c>
      <c r="G45" s="88">
        <f t="shared" si="5"/>
        <v>0</v>
      </c>
      <c r="H45" s="89">
        <f t="shared" si="6"/>
        <v>0</v>
      </c>
      <c r="I45" s="210" t="str">
        <f ca="1">OFFSET(L!$C$1,MATCH("Checker"&amp;"Comp",L!$A:$A,0)-1,SL,,)</f>
        <v>Complete</v>
      </c>
      <c r="J45" s="22" t="str">
        <f ca="1">OFFSET(L!$C$1,MATCH("Checker"&amp;ADDRESS(ROW(),COLUMN(),4),L!$A:$A,0)-1,SL,,)</f>
        <v>Declare if all applicable Tantalum smelter information has been provided on Declaration tab cell D62</v>
      </c>
    </row>
    <row r="46" spans="1:10" ht="39">
      <c r="A46" s="110" t="str">
        <f ca="1">Declaration!B63</f>
        <v>Tin  (*)</v>
      </c>
      <c r="B46" s="109" t="str">
        <f>Declaration!D63</f>
        <v>Yes</v>
      </c>
      <c r="C46" s="109" t="str">
        <f t="shared" ca="1" si="3"/>
        <v>Complete</v>
      </c>
      <c r="D46" s="122" t="str">
        <f>IF(H46=1,"Click here to answer question 7 for Tin","")</f>
        <v/>
      </c>
      <c r="E46" s="91" t="s">
        <v>1426</v>
      </c>
      <c r="F46" s="118">
        <f>F26</f>
        <v>1</v>
      </c>
      <c r="G46" s="88">
        <f t="shared" si="5"/>
        <v>0</v>
      </c>
      <c r="H46" s="89">
        <f t="shared" si="6"/>
        <v>0</v>
      </c>
      <c r="I46" s="210" t="str">
        <f ca="1">OFFSET(L!$C$1,MATCH("Checker"&amp;"Comp",L!$A:$A,0)-1,SL,,)</f>
        <v>Complete</v>
      </c>
      <c r="J46" s="22" t="str">
        <f ca="1">OFFSET(L!$C$1,MATCH("Checker"&amp;ADDRESS(ROW(),COLUMN(),4),L!$A:$A,0)-1,SL,,)</f>
        <v>Declare if all applicable Tin smelter information has been provided on Declaration tab cell D63</v>
      </c>
    </row>
    <row r="47" spans="1:10" ht="39">
      <c r="A47" s="110" t="str">
        <f ca="1">Declaration!B64</f>
        <v>Gold  (*)</v>
      </c>
      <c r="B47" s="109" t="str">
        <f>Declaration!D64</f>
        <v>Yes</v>
      </c>
      <c r="C47" s="109" t="str">
        <f t="shared" ca="1" si="3"/>
        <v>Complete</v>
      </c>
      <c r="D47" s="122" t="str">
        <f>IF(H47=1,"Click here to answer question 7 for Gold","")</f>
        <v/>
      </c>
      <c r="E47" s="91" t="s">
        <v>1426</v>
      </c>
      <c r="F47" s="118">
        <f>F27</f>
        <v>1</v>
      </c>
      <c r="G47" s="88">
        <f t="shared" si="5"/>
        <v>0</v>
      </c>
      <c r="H47" s="89">
        <f t="shared" si="6"/>
        <v>0</v>
      </c>
      <c r="I47" s="210" t="str">
        <f ca="1">OFFSET(L!$C$1,MATCH("Checker"&amp;"Comp",L!$A:$A,0)-1,SL,,)</f>
        <v>Complete</v>
      </c>
      <c r="J47" s="22" t="str">
        <f ca="1">OFFSET(L!$C$1,MATCH("Checker"&amp;ADDRESS(ROW(),COLUMN(),4),L!$A:$A,0)-1,SL,,)</f>
        <v>Declare if all applicable Gold smelter information has been provided on Declaration tab cell D64</v>
      </c>
    </row>
    <row r="48" spans="1:10" ht="39">
      <c r="A48" s="110" t="str">
        <f ca="1">Declaration!B65</f>
        <v xml:space="preserve">Tungsten  </v>
      </c>
      <c r="B48" s="109">
        <f>Declaration!D65</f>
        <v>0</v>
      </c>
      <c r="C48" s="109" t="str">
        <f t="shared" ca="1" si="3"/>
        <v>Complete</v>
      </c>
      <c r="D48" s="122" t="str">
        <f>IF(H48=1,"Click here to answer question 7 for Tungsten","")</f>
        <v/>
      </c>
      <c r="E48" s="91" t="s">
        <v>1426</v>
      </c>
      <c r="F48" s="118">
        <f>F28</f>
        <v>0</v>
      </c>
      <c r="G48" s="88">
        <f t="shared" si="5"/>
        <v>1</v>
      </c>
      <c r="H48" s="89">
        <f t="shared" si="6"/>
        <v>0</v>
      </c>
      <c r="I48" s="210" t="str">
        <f ca="1">OFFSET(L!$C$1,MATCH("Checker"&amp;"Comp",L!$A:$A,0)-1,SL,,)</f>
        <v>Complete</v>
      </c>
      <c r="J48" s="22" t="str">
        <f ca="1">OFFSET(L!$C$1,MATCH("Checker"&amp;ADDRESS(ROW(),COLUMN(),4),L!$A:$A,0)-1,SL,,)</f>
        <v>Declare if all applicable Tungsten smelter information has been provided on Declaration tab cell D65</v>
      </c>
    </row>
    <row r="49" spans="1:12" ht="25.5">
      <c r="A49" s="109" t="str">
        <f ca="1">Declaration!B68</f>
        <v>Question</v>
      </c>
      <c r="B49" s="112"/>
      <c r="C49" s="112"/>
      <c r="D49" s="120"/>
      <c r="E49" s="91" t="s">
        <v>850</v>
      </c>
      <c r="F49" s="117"/>
      <c r="G49" s="117"/>
      <c r="H49" s="117"/>
    </row>
    <row r="50" spans="1:12" ht="39">
      <c r="A50" s="109" t="str">
        <f ca="1">Declaration!B69</f>
        <v>A. Do you have a policy in place that addresses conflict minerals sourcing? (*)</v>
      </c>
      <c r="B50" s="109" t="str">
        <f>Declaration!D69</f>
        <v>Yes</v>
      </c>
      <c r="C50" s="109" t="str">
        <f t="shared" ca="1" si="3"/>
        <v>Complete</v>
      </c>
      <c r="D50" s="119" t="str">
        <f>IF(H50=1,"Click here to answer question (A)","")</f>
        <v/>
      </c>
      <c r="E50" s="91" t="s">
        <v>2521</v>
      </c>
      <c r="F50" s="118">
        <f>IF(SUM(F$25:F$28)=0,0,1)</f>
        <v>1</v>
      </c>
      <c r="G50" s="88">
        <f t="shared" si="5"/>
        <v>0</v>
      </c>
      <c r="H50" s="89">
        <f t="shared" si="6"/>
        <v>0</v>
      </c>
      <c r="I50" s="210" t="str">
        <f ca="1">OFFSET(L!$C$1,MATCH("Checker"&amp;"Comp",L!$A:$A,0)-1,SL,,)</f>
        <v>Complete</v>
      </c>
      <c r="J50" s="22" t="str">
        <f ca="1">OFFSET(L!$C$1,MATCH("Checker"&amp;ADDRESS(ROW(),COLUMN(),4),L!$A:$A,0)-1,SL,,)</f>
        <v>Answer if your company has a DRC conflict-free sourcing policy on the Declaration tab cell D69</v>
      </c>
    </row>
    <row r="51" spans="1:12" ht="39">
      <c r="A51" s="109" t="str">
        <f ca="1">Declaration!B71</f>
        <v>B. Is your conflict minerals sourcing policy publicly available on your website? (Note – If yes, the user shall specify the URL in the comment field.) (*)</v>
      </c>
      <c r="B51" s="109" t="str">
        <f>Declaration!D71</f>
        <v>Yes</v>
      </c>
      <c r="C51" s="109" t="str">
        <f t="shared" ca="1" si="3"/>
        <v>Complete</v>
      </c>
      <c r="D51" s="119" t="str">
        <f>IF(H51=1,"Click here to answer question (B)","")</f>
        <v/>
      </c>
      <c r="E51" s="91" t="s">
        <v>2521</v>
      </c>
      <c r="F51" s="118">
        <f t="shared" ref="F51:F60" si="7">F$50</f>
        <v>1</v>
      </c>
      <c r="G51" s="88">
        <f t="shared" si="5"/>
        <v>0</v>
      </c>
      <c r="H51" s="89">
        <f t="shared" si="6"/>
        <v>0</v>
      </c>
      <c r="I51" s="210"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15">
      <c r="A52" s="189" t="s">
        <v>6</v>
      </c>
      <c r="B52" s="109" t="str">
        <f>Declaration!G71</f>
        <v>http://www.matrixorbital.ca/ConflictMinerals/</v>
      </c>
      <c r="C52" s="109" t="str">
        <f ca="1">IF(H52=1,J52,I52)</f>
        <v>Complete</v>
      </c>
      <c r="D52" s="119" t="str">
        <f>IF(H52=1,"Click here to specify URL for question (B)","")</f>
        <v/>
      </c>
      <c r="E52" s="91"/>
      <c r="F52" s="118">
        <f>IF(AND(F51=1,B51="Yes"),1,0)</f>
        <v>1</v>
      </c>
      <c r="G52" s="88">
        <f>IF(LEN(B52)&gt;1,0,1)</f>
        <v>0</v>
      </c>
      <c r="H52" s="89">
        <f t="shared" si="6"/>
        <v>0</v>
      </c>
      <c r="I52" s="210" t="str">
        <f ca="1">OFFSET(L!$C$1,MATCH("Checker"&amp;"Comp",L!$A:$A,0)-1,SL,,)</f>
        <v>Complete</v>
      </c>
      <c r="J52" s="190" t="str">
        <f ca="1">OFFSET(L!$C$1,MATCH("Checker"&amp;ADDRESS(ROW(),COLUMN(),4),L!$A:$A,0)-1,SL,,)</f>
        <v>Enter the URL in Declaration worksheet cell G71 if you answer "Yes" for question B. The format of the URL should be "www.companyname.com"</v>
      </c>
    </row>
    <row r="53" spans="1:12" ht="39">
      <c r="A53" s="109" t="str">
        <f ca="1">Declaration!B73</f>
        <v>C. Do you require your direct suppliers to be DRC conflict-free? (*)</v>
      </c>
      <c r="B53" s="109" t="str">
        <f>Declaration!D73</f>
        <v>Yes</v>
      </c>
      <c r="C53" s="109" t="str">
        <f t="shared" ca="1" si="3"/>
        <v>Complete</v>
      </c>
      <c r="D53" s="119" t="str">
        <f>IF(H53=1,"Click here to answer question (C)","")</f>
        <v/>
      </c>
      <c r="E53" s="91" t="s">
        <v>2521</v>
      </c>
      <c r="F53" s="118">
        <f t="shared" si="7"/>
        <v>1</v>
      </c>
      <c r="G53" s="88">
        <f t="shared" si="5"/>
        <v>0</v>
      </c>
      <c r="H53" s="89">
        <f t="shared" si="6"/>
        <v>0</v>
      </c>
      <c r="I53" s="210" t="str">
        <f ca="1">OFFSET(L!$C$1,MATCH("Checker"&amp;"Comp",L!$A:$A,0)-1,SL,,)</f>
        <v>Complete</v>
      </c>
      <c r="J53" s="22" t="str">
        <f ca="1">OFFSET(L!$C$1,MATCH("Checker"&amp;ADDRESS(ROW(),COLUMN(),4),L!$A:$A,0)-1,SL,,)</f>
        <v>Answer if you require your direct suppliers to be DRC conflict-free on the Declaration tab cell D73</v>
      </c>
    </row>
    <row r="54" spans="1:12" ht="51">
      <c r="A54" s="109" t="str">
        <f ca="1">Declaration!B75</f>
        <v>D. Do you require your direct suppliers to source the 3TG from smelters whose due diligence practices have been validated by an independent third party audit program? (*)</v>
      </c>
      <c r="B54" s="109" t="str">
        <f>Declaration!D75</f>
        <v>No</v>
      </c>
      <c r="C54" s="109" t="str">
        <f t="shared" ca="1" si="3"/>
        <v>Complete</v>
      </c>
      <c r="D54" s="119" t="str">
        <f>IF(H54=1,"Click here to answer question (D)","")</f>
        <v/>
      </c>
      <c r="E54" s="91" t="s">
        <v>2521</v>
      </c>
      <c r="F54" s="118">
        <f t="shared" si="7"/>
        <v>1</v>
      </c>
      <c r="G54" s="88">
        <f t="shared" si="5"/>
        <v>0</v>
      </c>
      <c r="H54" s="89">
        <f t="shared" si="6"/>
        <v>0</v>
      </c>
      <c r="I54" s="210"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09" t="str">
        <f ca="1">Declaration!B77</f>
        <v>E. Have you implemented due diligence measures for conflict-free sourcing? (*)</v>
      </c>
      <c r="B55" s="109" t="str">
        <f>Declaration!D77</f>
        <v>Yes</v>
      </c>
      <c r="C55" s="109" t="str">
        <f t="shared" ca="1" si="3"/>
        <v>Complete</v>
      </c>
      <c r="D55" s="119" t="str">
        <f>IF(H55=1,"Click here to answer question (E)","")</f>
        <v/>
      </c>
      <c r="E55" s="91" t="s">
        <v>2521</v>
      </c>
      <c r="F55" s="118">
        <f t="shared" si="7"/>
        <v>1</v>
      </c>
      <c r="G55" s="88">
        <f t="shared" si="5"/>
        <v>0</v>
      </c>
      <c r="H55" s="89">
        <f t="shared" si="6"/>
        <v>0</v>
      </c>
      <c r="I55" s="210"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09" t="str">
        <f ca="1">Declaration!B79</f>
        <v>F. Do you collect conflict minerals due diligence information from your suppliers which is in conformance with the IPC-1755 Conflict Minerals Data Exchange standard [e.g., the CFSI Conflict Minerals Reporting Template]? (*)</v>
      </c>
      <c r="B56" s="109" t="str">
        <f>Declaration!D79</f>
        <v>Yes</v>
      </c>
      <c r="C56" s="109" t="str">
        <f t="shared" ca="1" si="3"/>
        <v>Complete</v>
      </c>
      <c r="D56" s="119" t="str">
        <f>IF(H56=1,"Click here to answer question (F)","")</f>
        <v/>
      </c>
      <c r="E56" s="91" t="s">
        <v>2521</v>
      </c>
      <c r="F56" s="118">
        <f t="shared" si="7"/>
        <v>1</v>
      </c>
      <c r="G56" s="88">
        <f t="shared" si="5"/>
        <v>0</v>
      </c>
      <c r="H56" s="89">
        <f t="shared" si="6"/>
        <v>0</v>
      </c>
      <c r="I56" s="210"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09" t="str">
        <f ca="1">Declaration!B81</f>
        <v>G. Do you request smelter names from your suppliers? (*)</v>
      </c>
      <c r="B57" s="109" t="str">
        <f>Declaration!D81</f>
        <v>Yes</v>
      </c>
      <c r="C57" s="109" t="str">
        <f t="shared" ca="1" si="3"/>
        <v>Complete</v>
      </c>
      <c r="D57" s="119" t="str">
        <f>IF(H57=1,"Click here to answer question (G)","")</f>
        <v/>
      </c>
      <c r="E57" s="91" t="s">
        <v>2521</v>
      </c>
      <c r="F57" s="118">
        <f t="shared" si="7"/>
        <v>1</v>
      </c>
      <c r="G57" s="88">
        <f t="shared" si="5"/>
        <v>0</v>
      </c>
      <c r="H57" s="89">
        <f t="shared" si="6"/>
        <v>0</v>
      </c>
      <c r="I57" s="210" t="str">
        <f ca="1">OFFSET(L!$C$1,MATCH("Checker"&amp;"Comp",L!$A:$A,0)-1,SL,,)</f>
        <v>Complete</v>
      </c>
      <c r="J57" s="22" t="str">
        <f ca="1">OFFSET(L!$C$1,MATCH("Checker"&amp;ADDRESS(ROW(),COLUMN(),4),L!$A:$A,0)-1,SL,,)</f>
        <v>Answer if you request smelter names from your suppliers on the declaration tab cell D81</v>
      </c>
    </row>
    <row r="58" spans="1:12" ht="39">
      <c r="A58" s="109" t="str">
        <f ca="1">Declaration!B83</f>
        <v>H. Do you review due diligence information received from your suppliers against your company’s expectations? (*)</v>
      </c>
      <c r="B58" s="109" t="str">
        <f>Declaration!D83</f>
        <v>Yes</v>
      </c>
      <c r="C58" s="109" t="str">
        <f t="shared" ca="1" si="3"/>
        <v>Complete</v>
      </c>
      <c r="D58" s="119" t="str">
        <f>IF(H58=1,"Click here to answer question (H)","")</f>
        <v/>
      </c>
      <c r="E58" s="91" t="s">
        <v>2521</v>
      </c>
      <c r="F58" s="118">
        <f t="shared" si="7"/>
        <v>1</v>
      </c>
      <c r="G58" s="88">
        <f t="shared" si="5"/>
        <v>0</v>
      </c>
      <c r="H58" s="89">
        <f t="shared" si="6"/>
        <v>0</v>
      </c>
      <c r="I58" s="210"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09" t="str">
        <f ca="1">Declaration!B85</f>
        <v>I. Does your review process include corrective action management? (*)</v>
      </c>
      <c r="B59" s="109" t="str">
        <f>Declaration!D85</f>
        <v>Yes</v>
      </c>
      <c r="C59" s="109" t="str">
        <f t="shared" ca="1" si="3"/>
        <v>Complete</v>
      </c>
      <c r="D59" s="119" t="str">
        <f>IF(H59=1,"Click here to answer question (I)","")</f>
        <v/>
      </c>
      <c r="E59" s="91" t="s">
        <v>2521</v>
      </c>
      <c r="F59" s="118">
        <f t="shared" si="7"/>
        <v>1</v>
      </c>
      <c r="G59" s="88">
        <f t="shared" si="5"/>
        <v>0</v>
      </c>
      <c r="H59" s="89">
        <f t="shared" si="6"/>
        <v>0</v>
      </c>
      <c r="I59" s="210" t="str">
        <f ca="1">OFFSET(L!$C$1,MATCH("Checker"&amp;"Comp",L!$A:$A,0)-1,SL,,)</f>
        <v>Complete</v>
      </c>
      <c r="J59" s="22" t="str">
        <f ca="1">OFFSET(L!$C$1,MATCH("Checker"&amp;ADDRESS(ROW(),COLUMN(),4),L!$A:$A,0)-1,SL,,)</f>
        <v>Answer if your verification process includes corrective action management on Declaration tab cell D85</v>
      </c>
    </row>
    <row r="60" spans="1:12" ht="39">
      <c r="A60" s="109" t="str">
        <f ca="1">Declaration!B87</f>
        <v>J. Are you subject to the SEC Conflict Minerals rule? (*)</v>
      </c>
      <c r="B60" s="109" t="str">
        <f>Declaration!D87</f>
        <v>No</v>
      </c>
      <c r="C60" s="109" t="str">
        <f t="shared" ca="1" si="3"/>
        <v>Complete</v>
      </c>
      <c r="D60" s="119" t="str">
        <f>IF(H60=1,"Click here to answer question (J)","")</f>
        <v/>
      </c>
      <c r="E60" s="91" t="s">
        <v>2521</v>
      </c>
      <c r="F60" s="118">
        <f t="shared" si="7"/>
        <v>1</v>
      </c>
      <c r="G60" s="88">
        <f t="shared" si="5"/>
        <v>0</v>
      </c>
      <c r="H60" s="89">
        <f t="shared" si="6"/>
        <v>0</v>
      </c>
      <c r="I60" s="210" t="str">
        <f ca="1">OFFSET(L!$C$1,MATCH("Checker"&amp;"Comp",L!$A:$A,0)-1,SL,,)</f>
        <v>Complete</v>
      </c>
      <c r="J60" s="22" t="str">
        <f ca="1">OFFSET(L!$C$1,MATCH("Checker"&amp;ADDRESS(ROW(),COLUMN(),4),L!$A:$A,0)-1,SL,,)</f>
        <v>Answer if you are subject to the SEC Disclosure requirement on Declaration tab cell D87</v>
      </c>
    </row>
    <row r="61" spans="1:12" ht="39">
      <c r="A61" s="110" t="s">
        <v>2459</v>
      </c>
      <c r="B61" s="109" t="str">
        <f>IF(G61=1,"No products or item numbers listed","One or more product / item numbers have been provided")</f>
        <v>No products or item numbers listed</v>
      </c>
      <c r="C61" s="109" t="str">
        <f t="shared" ca="1" si="3"/>
        <v>Complete</v>
      </c>
      <c r="D61" s="119" t="str">
        <f>IF(H61=1,"Click here to enter detail on Product List tab","")</f>
        <v/>
      </c>
      <c r="E61" s="91" t="s">
        <v>2521</v>
      </c>
      <c r="F61" s="118">
        <f>IF(B5=Declaration!Q9,1,0)</f>
        <v>0</v>
      </c>
      <c r="G61" s="88">
        <f>IF('Product List'!B6="",1,0)</f>
        <v>1</v>
      </c>
      <c r="H61" s="89">
        <f t="shared" si="6"/>
        <v>0</v>
      </c>
      <c r="I61" s="210"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18" t="s">
        <v>3520</v>
      </c>
      <c r="B62" s="109"/>
      <c r="C62" s="219" t="str">
        <f ca="1">IF(OR(AND(Declaration!D26&lt;&gt;"Yes",Declaration!D26&lt;&gt;"No"),AND(Declaration!D32&lt;&gt;"Yes",Declaration!D32&lt;&gt;"No")),L62,IF(K62=0,"Not Required",IF(AND(OR(B15="Yes",B20="Yes"),(COUNTIF(SmelterIdetifiedForMetal,"Tantalum")&lt;1)),J62,IF((SUMPRODUCT(COUNTIF(OFFSET('Smelter Reference List'!$J$4,MATCH("Tantalum",'Smelter Reference List'!$A:$A,0)-4,0,COUNTIF('Smelter Reference List'!$A:$A,"Tantalum"),1),'Smelter List'!Y$5:Y$1287))&gt;0),I62,J62))))</f>
        <v>Complete</v>
      </c>
      <c r="D62" s="119" t="str">
        <f ca="1">IF(H62=0,"","Click here to provide smelter information")</f>
        <v/>
      </c>
      <c r="E62" s="91" t="s">
        <v>2521</v>
      </c>
      <c r="F62" s="118">
        <f>F$50</f>
        <v>1</v>
      </c>
      <c r="G62" s="88" t="e">
        <f>IF(COUNTIF('Smelter List'!#REF!,"")&lt;10,0,1)</f>
        <v>#REF!</v>
      </c>
      <c r="H62" s="89">
        <f ca="1">IF(AND(OR(Declaration!D26="Yes",Declaration!D32="Yes"),(COUNTIF(SmelterIdetifiedForMetal,"Tantalum")&lt;1)),(1*K62),(0*K62))</f>
        <v>0</v>
      </c>
      <c r="I62" s="210" t="str">
        <f ca="1">OFFSET(L!$C$1,MATCH("Checker"&amp;"Comp",L!$A:$A,0)-1,SL,,)</f>
        <v>Complete</v>
      </c>
      <c r="J62" s="22" t="str">
        <f ca="1">OFFSET(L!$C$1,MATCH("Checker"&amp;ADDRESS(ROW(),COLUMN(),4),L!$A:$A,0)-1,SL,,)</f>
        <v>Provide list of tantalum smelters contributing material to supply chain on Smelter List tab</v>
      </c>
      <c r="K62" s="217">
        <f>IF(AND(Declaration!D26="No",Declaration!D32="No"),0,1)</f>
        <v>1</v>
      </c>
      <c r="L62" s="22" t="str">
        <f ca="1">OFFSET(L!$C$1,MATCH("Checker"&amp;ADDRESS(ROW(),COLUMN(),4),L!$A:$A,0)-1,SL,,)</f>
        <v>Please answer Questions 1 and 2 on Declaration tab</v>
      </c>
    </row>
    <row r="63" spans="1:12" ht="39">
      <c r="A63" s="218" t="s">
        <v>3521</v>
      </c>
      <c r="B63" s="109"/>
      <c r="C63" s="219" t="str">
        <f ca="1">IF(OR(AND(Declaration!D27&lt;&gt;"Yes",Declaration!D27&lt;&gt;"No"),AND(Declaration!D33&lt;&gt;"Yes",Declaration!D33&lt;&gt;"No")),L63,IF(K63=0,"Not Required",IF(AND(OR(B16="Yes",B21="Yes"),(COUNTIF(SmelterIdetifiedForMetal,"Tin")&lt;1)),J63,IF((SUMPRODUCT(COUNTIF(OFFSET('Smelter Reference List'!$J$4,MATCH("Tin",'Smelter Reference List'!$A:$A,0)-4,0,COUNTIF('Smelter Reference List'!$A:$A,"Tin"),1),'Smelter List'!Y$5:Y$1287))&gt;0),I63,J63))))</f>
        <v>Complete</v>
      </c>
      <c r="D63" s="119" t="str">
        <f ca="1">IF(H63=0,"","Click here to provide smelter information")</f>
        <v/>
      </c>
      <c r="E63" s="91" t="s">
        <v>1426</v>
      </c>
      <c r="F63" s="118">
        <f>F$50</f>
        <v>1</v>
      </c>
      <c r="G63" s="88" t="e">
        <f>IF(COUNTIF('Smelter List'!#REF!,"")&lt;10,0,1)</f>
        <v>#REF!</v>
      </c>
      <c r="H63" s="89">
        <f ca="1">IF(AND(OR(Declaration!D27="Yes",Declaration!D33="Yes"),(COUNTIF(SmelterIdetifiedForMetal,"Tin")&lt;1)),(1*K63),(0*K63))</f>
        <v>0</v>
      </c>
      <c r="I63" s="210" t="str">
        <f ca="1">OFFSET(L!$C$1,MATCH("Checker"&amp;"Comp",L!$A:$A,0)-1,SL,,)</f>
        <v>Complete</v>
      </c>
      <c r="J63" s="22" t="str">
        <f ca="1">OFFSET(L!$C$1,MATCH("Checker"&amp;ADDRESS(ROW(),COLUMN(),4),L!$A:$A,0)-1,SL,,)</f>
        <v>Provide list of tin smelters contributing material to supply chain on Smelter List tab</v>
      </c>
      <c r="K63" s="217">
        <f>IF(AND(Declaration!D27="No",Declaration!D33="No"),0,1)</f>
        <v>1</v>
      </c>
      <c r="L63" s="22" t="str">
        <f ca="1">OFFSET(L!$C$1,MATCH("Checker"&amp;ADDRESS(ROW(),COLUMN(),4),L!$A:$A,0)-1,SL,,)</f>
        <v>Please answer Questions 1 and 2 on Declaration tab</v>
      </c>
    </row>
    <row r="64" spans="1:12" ht="39">
      <c r="A64" s="218" t="s">
        <v>3522</v>
      </c>
      <c r="B64" s="109"/>
      <c r="C64" s="219" t="str">
        <f ca="1">IF(OR(AND(Declaration!D28&lt;&gt;"Yes",Declaration!D28&lt;&gt;"No"),AND(Declaration!D34&lt;&gt;"Yes",Declaration!D34&lt;&gt;"No")),L64,IF(K64=0,"Not Required",IF(AND(OR(B17="Yes",B22="Yes"),(COUNTIF(SmelterIdetifiedForMetal,"Gold")&lt;1)),J64,IF((SUMPRODUCT(COUNTIF(OFFSET('Smelter Reference List'!$J$4,MATCH("Gold",'Smelter Reference List'!$A:$A,0)-4,0,COUNTIF('Smelter Reference List'!$A:$A,"Gold"),1),'Smelter List'!Y$5:Y$1287))&gt;0),I64,J64))))</f>
        <v>Complete</v>
      </c>
      <c r="D64" s="119" t="str">
        <f ca="1">IF(H64=0,"","Click here to provide smelter information")</f>
        <v/>
      </c>
      <c r="E64" s="91" t="s">
        <v>1426</v>
      </c>
      <c r="F64" s="118">
        <f>F$50</f>
        <v>1</v>
      </c>
      <c r="G64" s="88" t="e">
        <f>IF(COUNTIF('Smelter List'!#REF!,"")&lt;10,0,1)</f>
        <v>#REF!</v>
      </c>
      <c r="H64" s="89">
        <f ca="1">IF(AND(OR(Declaration!D28="Yes",Declaration!D34="Yes"),(COUNTIF(SmelterIdetifiedForMetal,"Gold")&lt;1)),(1*K64),(0*K64))</f>
        <v>0</v>
      </c>
      <c r="I64" s="210" t="str">
        <f ca="1">OFFSET(L!$C$1,MATCH("Checker"&amp;"Comp",L!$A:$A,0)-1,SL,,)</f>
        <v>Complete</v>
      </c>
      <c r="J64" s="22" t="str">
        <f ca="1">OFFSET(L!$C$1,MATCH("Checker"&amp;ADDRESS(ROW(),COLUMN(),4),L!$A:$A,0)-1,SL,,)</f>
        <v>Provide list of gold smelters contributing material to supply chain on Smelter List tab</v>
      </c>
      <c r="K64" s="217">
        <f>IF(AND(Declaration!D28="No",Declaration!D34="No"),0,1)</f>
        <v>1</v>
      </c>
      <c r="L64" s="22" t="str">
        <f ca="1">OFFSET(L!$C$1,MATCH("Checker"&amp;ADDRESS(ROW(),COLUMN(),4),L!$A:$A,0)-1,SL,,)</f>
        <v>Please answer Questions 1 and 2 on Declaration tab</v>
      </c>
    </row>
    <row r="65" spans="1:12" ht="39">
      <c r="A65" s="218" t="s">
        <v>3523</v>
      </c>
      <c r="B65" s="109"/>
      <c r="C65" s="219" t="str">
        <f ca="1">IF(OR(AND(Declaration!D29&lt;&gt;"Yes",Declaration!D29&lt;&gt;"No"),AND(Declaration!D35&lt;&gt;"Yes",Declaration!D35&lt;&gt;"No")),L65,IF(K65=0,"Not Required",IF(AND(OR(B18="Yes",B23="Yes"),(COUNTIF(SmelterIdetifiedForMetal,"Tungsten")&lt;1)),J65,IF((SUMPRODUCT(COUNTIF(OFFSET('Smelter Reference List'!$J$4,MATCH("Tungsten",'Smelter Reference List'!$A:$A,0)-4,0,COUNTIF('Smelter Reference List'!$A:$A,"Tungsten"),1),'Smelter List'!Y$5:Y$1287))&gt;0),I65,J65))))</f>
        <v>Not Required</v>
      </c>
      <c r="D65" s="119" t="str">
        <f ca="1">IF(H65=0,"","Click here to provide smelter information")</f>
        <v/>
      </c>
      <c r="E65" s="91" t="s">
        <v>1426</v>
      </c>
      <c r="F65" s="118">
        <f>F$50</f>
        <v>1</v>
      </c>
      <c r="G65" s="88" t="e">
        <f>IF(COUNTIF('Smelter List'!#REF!,"")&lt;10,0,1)</f>
        <v>#REF!</v>
      </c>
      <c r="H65" s="89">
        <f ca="1">IF(AND(OR(Declaration!D29="Yes",Declaration!D35="Yes"),(COUNTIF(SmelterIdetifiedForMetal,"Tungsten")&lt;1)),(1*K65),(0*K65))</f>
        <v>0</v>
      </c>
      <c r="I65" s="210" t="str">
        <f ca="1">OFFSET(L!$C$1,MATCH("Checker"&amp;"Comp",L!$A:$A,0)-1,SL,,)</f>
        <v>Complete</v>
      </c>
      <c r="J65" s="22" t="str">
        <f ca="1">OFFSET(L!$C$1,MATCH("Checker"&amp;ADDRESS(ROW(),COLUMN(),4),L!$A:$A,0)-1,SL,,)</f>
        <v>Provide list of tungsten smelters contributing material to supply chain on Smelter List tab</v>
      </c>
      <c r="K65" s="217">
        <f>IF(AND(Declaration!D29="No",Declaration!D35="No"),0,1)</f>
        <v>0</v>
      </c>
      <c r="L65" s="22" t="str">
        <f ca="1">OFFSET(L!$C$1,MATCH("Checker"&amp;ADDRESS(ROW(),COLUMN(),4),L!$A:$A,0)-1,SL,,)</f>
        <v>Please answer Questions 1 and 2 on Declaration tab</v>
      </c>
    </row>
    <row r="66" spans="1:12" ht="25.5">
      <c r="A66" s="244" t="s">
        <v>4639</v>
      </c>
      <c r="B66" s="109"/>
      <c r="C66" s="244" t="str">
        <f ca="1">IF(F66=0,J66,IF(G66=0,I66,L66))</f>
        <v>N/A</v>
      </c>
      <c r="D66" s="119"/>
      <c r="E66" s="91"/>
      <c r="F66" s="118">
        <f ca="1">IF(COUNTIF('Smelter List'!$C:$C,"Smelter Not Listed")&gt;0,1,0)</f>
        <v>0</v>
      </c>
      <c r="G66" s="88">
        <f ca="1">SUM('Smelter List'!U5:U1287)</f>
        <v>0</v>
      </c>
      <c r="H66" s="89">
        <f ca="1">F66*G66</f>
        <v>0</v>
      </c>
      <c r="I66" s="210" t="str">
        <f ca="1">OFFSET(L!$C$1,MATCH("Checker"&amp;"Comp",L!$A:$A,0)-1,SL,,)</f>
        <v>Complete</v>
      </c>
      <c r="J66" s="22" t="s">
        <v>4640</v>
      </c>
      <c r="K66" s="217"/>
      <c r="L66" s="22" t="s">
        <v>4641</v>
      </c>
    </row>
    <row r="67" spans="1:12">
      <c r="H67" s="22">
        <f ca="1">SUM(H4:H66)</f>
        <v>0</v>
      </c>
    </row>
    <row r="68" spans="1:12">
      <c r="A68" s="24"/>
    </row>
    <row r="69" spans="1:12">
      <c r="A69" s="24"/>
    </row>
    <row r="70" spans="1:12">
      <c r="A70" s="24"/>
    </row>
  </sheetData>
  <sheetProtection password="E985" sheet="1" formatColumns="0" formatRows="0"/>
  <mergeCells count="1">
    <mergeCell ref="A1:C1"/>
  </mergeCells>
  <phoneticPr fontId="31"/>
  <conditionalFormatting sqref="B62">
    <cfRule type="expression" dxfId="26" priority="331" stopIfTrue="1">
      <formula>IF(F62=0,TRUE)</formula>
    </cfRule>
  </conditionalFormatting>
  <conditionalFormatting sqref="A5:A13">
    <cfRule type="expression" dxfId="25" priority="39" stopIfTrue="1">
      <formula>$F5=0</formula>
    </cfRule>
    <cfRule type="expression" dxfId="24" priority="40" stopIfTrue="1">
      <formula>AND($F5=1,$G5=0)</formula>
    </cfRule>
    <cfRule type="expression" dxfId="23" priority="41" stopIfTrue="1">
      <formula>AND($F5&lt;&gt;0,$G5&lt;&gt;0)</formula>
    </cfRule>
  </conditionalFormatting>
  <conditionalFormatting sqref="B61">
    <cfRule type="expression" dxfId="22" priority="37" stopIfTrue="1">
      <formula>$F61=0</formula>
    </cfRule>
  </conditionalFormatting>
  <conditionalFormatting sqref="D52">
    <cfRule type="expression" dxfId="21" priority="348" stopIfTrue="1">
      <formula>$H$52=0</formula>
    </cfRule>
  </conditionalFormatting>
  <conditionalFormatting sqref="B63">
    <cfRule type="expression" dxfId="20" priority="29" stopIfTrue="1">
      <formula>IF(F63=0,TRUE)</formula>
    </cfRule>
  </conditionalFormatting>
  <conditionalFormatting sqref="B64">
    <cfRule type="expression" dxfId="19" priority="25" stopIfTrue="1">
      <formula>IF(F64=0,TRUE)</formula>
    </cfRule>
  </conditionalFormatting>
  <conditionalFormatting sqref="B65:B66">
    <cfRule type="expression" dxfId="18" priority="21" stopIfTrue="1">
      <formula>IF(F65=0,TRUE)</formula>
    </cfRule>
  </conditionalFormatting>
  <conditionalFormatting sqref="C62:C66">
    <cfRule type="expression" dxfId="17" priority="3" stopIfTrue="1">
      <formula>C62="Not Required"</formula>
    </cfRule>
    <cfRule type="expression" dxfId="16" priority="11" stopIfTrue="1">
      <formula>OR(C62="Complete",C62="填写", C62="記入",C62="완료",C62="Complétez",C62="Concluído",C62="Vollständig",C62="Completare",C62="Doldurun")</formula>
    </cfRule>
  </conditionalFormatting>
  <conditionalFormatting sqref="A62:A66">
    <cfRule type="expression" dxfId="15" priority="4" stopIfTrue="1">
      <formula>C62="Not Required"</formula>
    </cfRule>
    <cfRule type="expression" dxfId="14" priority="12" stopIfTrue="1">
      <formula>OR(C62="Complete",C62="填写", C62="記入",C62="완료",C62="Complétez",C62="Concluído",C62="Vollständig",C62="Completare",C62="Doldurun")</formula>
    </cfRule>
  </conditionalFormatting>
  <conditionalFormatting sqref="A4 A15:A18 A50:A61 C15:C18 A20:A23 C25:C28 A35:A38 A40:A43 C50:C61 C20:C23 A30:A33 C35:C38 C40:C43 A25:A28 C30:C33 C45:C48 A45:A48 C4:C13">
    <cfRule type="expression" dxfId="13" priority="337" stopIfTrue="1">
      <formula>$F4=0</formula>
    </cfRule>
    <cfRule type="expression" dxfId="12" priority="338" stopIfTrue="1">
      <formula>$H4=0</formula>
    </cfRule>
    <cfRule type="expression" dxfId="11" priority="339" stopIfTrue="1">
      <formula>$H4=1</formula>
    </cfRule>
  </conditionalFormatting>
  <conditionalFormatting sqref="C66 A66">
    <cfRule type="expression" dxfId="10" priority="1" stopIfTrue="1">
      <formula>IF(AND($F$66=1,$G$66=1),TRUE,FALSE)</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28" customWidth="1"/>
    <col min="2" max="2" width="39.875" style="129" customWidth="1"/>
    <col min="3" max="3" width="39.875" style="128" customWidth="1"/>
    <col min="4" max="4" width="58.75" style="128" customWidth="1"/>
    <col min="5" max="5" width="1.625" style="128" customWidth="1"/>
    <col min="6" max="35" width="9" customWidth="1"/>
    <col min="36" max="16384" width="8.75" style="26"/>
  </cols>
  <sheetData>
    <row r="1" spans="1:35" ht="34.9" customHeight="1" thickTop="1">
      <c r="A1" s="397" t="str">
        <f ca="1">OFFSET(L!$C$1,MATCH("Product List"&amp;ADDRESS(ROW(),COLUMN(),4),L!$A:$A,0)-1,SL,,)</f>
        <v>Completion required only if reporting level "Product (or List of Products)" selected on the 'Declaration' worksheet.</v>
      </c>
      <c r="B1" s="398"/>
      <c r="C1" s="398"/>
      <c r="D1" s="398"/>
      <c r="E1" s="157"/>
    </row>
    <row r="2" spans="1:35">
      <c r="A2" s="29"/>
      <c r="B2" s="162"/>
      <c r="C2" s="162"/>
      <c r="D2"/>
      <c r="E2" s="30"/>
    </row>
    <row r="3" spans="1:35">
      <c r="A3" s="29"/>
      <c r="B3" s="162"/>
      <c r="C3" s="162"/>
      <c r="D3" s="162"/>
      <c r="E3" s="30"/>
    </row>
    <row r="4" spans="1:35" ht="15.75" customHeight="1">
      <c r="A4" s="29"/>
      <c r="B4" s="396" t="s">
        <v>1750</v>
      </c>
      <c r="C4" s="396"/>
      <c r="D4" s="396"/>
      <c r="E4" s="30"/>
    </row>
    <row r="5" spans="1:35" ht="15.75">
      <c r="A5" s="177"/>
      <c r="B5" s="180" t="str">
        <f ca="1">OFFSET(L!$C$1,MATCH("Product List"&amp;ADDRESS(ROW(),COLUMN(),4),L!$A:$A,0)-1,SL,,)</f>
        <v>Manufacturer’s Product Number (*)</v>
      </c>
      <c r="C5" s="180" t="str">
        <f ca="1">OFFSET(L!$C$1,MATCH("Product List"&amp;ADDRESS(ROW(),COLUMN(),4),L!$A:$A,0)-1,SL,,)</f>
        <v>Manufacturer’s Product Name</v>
      </c>
      <c r="D5" s="92" t="str">
        <f ca="1">OFFSET(L!$C$1,MATCH("Product List"&amp;ADDRESS(ROW(),COLUMN(),4),L!$A:$A,0)-1,SL,,)</f>
        <v>Comments</v>
      </c>
      <c r="E5" s="30"/>
    </row>
    <row r="6" spans="1:35" s="33" customFormat="1" ht="15.75">
      <c r="A6" s="174"/>
      <c r="B6" s="163"/>
      <c r="C6" s="123"/>
      <c r="D6" s="123"/>
      <c r="E6" s="32"/>
      <c r="F6"/>
      <c r="G6"/>
      <c r="H6"/>
      <c r="I6"/>
      <c r="J6"/>
      <c r="K6"/>
      <c r="L6"/>
      <c r="M6"/>
      <c r="N6"/>
      <c r="O6"/>
      <c r="P6"/>
      <c r="Q6"/>
      <c r="R6"/>
      <c r="S6"/>
      <c r="T6"/>
      <c r="U6"/>
      <c r="V6"/>
      <c r="W6"/>
      <c r="X6"/>
      <c r="Y6"/>
      <c r="Z6"/>
      <c r="AA6"/>
      <c r="AB6"/>
      <c r="AC6"/>
      <c r="AD6"/>
      <c r="AE6"/>
      <c r="AF6"/>
      <c r="AG6"/>
      <c r="AH6"/>
      <c r="AI6"/>
    </row>
    <row r="7" spans="1:35" s="33" customFormat="1" ht="15.75">
      <c r="A7" s="175"/>
      <c r="B7" s="163"/>
      <c r="C7" s="123"/>
      <c r="D7" s="123"/>
      <c r="E7" s="32"/>
      <c r="F7"/>
      <c r="G7"/>
      <c r="H7"/>
      <c r="I7"/>
      <c r="J7"/>
      <c r="K7"/>
      <c r="L7"/>
      <c r="M7"/>
      <c r="N7"/>
      <c r="O7"/>
      <c r="P7"/>
      <c r="Q7"/>
      <c r="R7"/>
      <c r="S7"/>
      <c r="T7"/>
      <c r="U7"/>
      <c r="V7"/>
      <c r="W7"/>
      <c r="X7"/>
      <c r="Y7"/>
      <c r="Z7"/>
      <c r="AA7"/>
      <c r="AB7"/>
      <c r="AC7"/>
      <c r="AD7"/>
      <c r="AE7"/>
      <c r="AF7"/>
      <c r="AG7"/>
      <c r="AH7"/>
      <c r="AI7"/>
    </row>
    <row r="8" spans="1:35" s="33" customFormat="1" ht="15.75">
      <c r="A8" s="175"/>
      <c r="B8" s="163"/>
      <c r="C8" s="123"/>
      <c r="D8" s="123"/>
      <c r="E8" s="32"/>
      <c r="F8"/>
      <c r="G8"/>
      <c r="H8"/>
      <c r="I8"/>
      <c r="J8"/>
      <c r="K8"/>
      <c r="L8"/>
      <c r="M8"/>
      <c r="N8"/>
      <c r="O8"/>
      <c r="P8"/>
      <c r="Q8"/>
      <c r="R8"/>
      <c r="S8"/>
      <c r="T8"/>
      <c r="U8"/>
      <c r="V8"/>
      <c r="W8"/>
      <c r="X8"/>
      <c r="Y8"/>
      <c r="Z8"/>
      <c r="AA8"/>
      <c r="AB8"/>
      <c r="AC8"/>
      <c r="AD8"/>
      <c r="AE8"/>
      <c r="AF8"/>
      <c r="AG8"/>
      <c r="AH8"/>
      <c r="AI8"/>
    </row>
    <row r="9" spans="1:35" s="33" customFormat="1" ht="15.75">
      <c r="A9" s="175"/>
      <c r="B9" s="163"/>
      <c r="C9" s="123"/>
      <c r="D9" s="123"/>
      <c r="E9" s="32"/>
      <c r="F9"/>
      <c r="G9"/>
      <c r="H9"/>
      <c r="I9"/>
      <c r="J9"/>
      <c r="K9"/>
      <c r="L9"/>
      <c r="M9"/>
      <c r="N9"/>
      <c r="O9"/>
      <c r="P9"/>
      <c r="Q9"/>
      <c r="R9"/>
      <c r="S9"/>
      <c r="T9"/>
      <c r="U9"/>
      <c r="V9"/>
      <c r="W9"/>
      <c r="X9"/>
      <c r="Y9"/>
      <c r="Z9"/>
      <c r="AA9"/>
      <c r="AB9"/>
      <c r="AC9"/>
      <c r="AD9"/>
      <c r="AE9"/>
      <c r="AF9"/>
      <c r="AG9"/>
      <c r="AH9"/>
      <c r="AI9"/>
    </row>
    <row r="10" spans="1:35" s="33" customFormat="1" ht="15.75">
      <c r="A10" s="175"/>
      <c r="B10" s="163"/>
      <c r="C10" s="123"/>
      <c r="D10" s="123"/>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75"/>
      <c r="B11" s="163"/>
      <c r="C11" s="123"/>
      <c r="D11" s="123"/>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75"/>
      <c r="B12" s="163"/>
      <c r="C12" s="123"/>
      <c r="D12" s="123"/>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75"/>
      <c r="B13" s="163"/>
      <c r="C13" s="123"/>
      <c r="D13" s="123"/>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75"/>
      <c r="B14" s="163"/>
      <c r="C14" s="123"/>
      <c r="D14" s="123"/>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75"/>
      <c r="B15" s="163"/>
      <c r="C15" s="123"/>
      <c r="D15" s="123"/>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75"/>
      <c r="B16" s="163"/>
      <c r="C16" s="123"/>
      <c r="D16" s="123"/>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75"/>
      <c r="B17" s="163"/>
      <c r="C17" s="123"/>
      <c r="D17" s="123"/>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75"/>
      <c r="B18" s="163"/>
      <c r="C18" s="123"/>
      <c r="D18" s="123"/>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75"/>
      <c r="B19" s="163"/>
      <c r="C19" s="123"/>
      <c r="D19" s="123"/>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75"/>
      <c r="B20" s="163"/>
      <c r="C20" s="123"/>
      <c r="D20" s="123"/>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75"/>
      <c r="B21" s="163"/>
      <c r="C21" s="123"/>
      <c r="D21" s="123"/>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75"/>
      <c r="B22" s="163"/>
      <c r="C22" s="123"/>
      <c r="D22" s="123"/>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75"/>
      <c r="B23" s="163"/>
      <c r="C23" s="123"/>
      <c r="D23" s="123"/>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75"/>
      <c r="B24" s="163"/>
      <c r="C24" s="123"/>
      <c r="D24" s="123"/>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75"/>
      <c r="B25" s="163"/>
      <c r="C25" s="123"/>
      <c r="D25" s="123"/>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75"/>
      <c r="B26" s="163"/>
      <c r="C26" s="123"/>
      <c r="D26" s="123"/>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75"/>
      <c r="B27" s="163"/>
      <c r="C27" s="123"/>
      <c r="D27" s="123"/>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75"/>
      <c r="B28" s="163"/>
      <c r="C28" s="123"/>
      <c r="D28" s="123"/>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75"/>
      <c r="B29" s="163"/>
      <c r="C29" s="123"/>
      <c r="D29" s="123"/>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75"/>
      <c r="B30" s="163"/>
      <c r="C30" s="123"/>
      <c r="D30" s="123"/>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75"/>
      <c r="B31" s="163"/>
      <c r="C31" s="123"/>
      <c r="D31" s="123"/>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75"/>
      <c r="B32" s="163"/>
      <c r="C32" s="123"/>
      <c r="D32" s="123"/>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75"/>
      <c r="B33" s="163"/>
      <c r="C33" s="123"/>
      <c r="D33" s="123"/>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75"/>
      <c r="B34" s="163"/>
      <c r="C34" s="123"/>
      <c r="D34" s="123"/>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75"/>
      <c r="B35" s="163"/>
      <c r="C35" s="123"/>
      <c r="D35" s="123"/>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75"/>
      <c r="B36" s="163"/>
      <c r="C36" s="123"/>
      <c r="D36" s="123"/>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75"/>
      <c r="B37" s="163"/>
      <c r="C37" s="123"/>
      <c r="D37" s="123"/>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75"/>
      <c r="B38" s="163"/>
      <c r="C38" s="123"/>
      <c r="D38" s="123"/>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75"/>
      <c r="B39" s="163"/>
      <c r="C39" s="123"/>
      <c r="D39" s="123"/>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75"/>
      <c r="B40" s="163"/>
      <c r="C40" s="123"/>
      <c r="D40" s="123"/>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75"/>
      <c r="B41" s="163"/>
      <c r="C41" s="123"/>
      <c r="D41" s="123"/>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75"/>
      <c r="B42" s="163"/>
      <c r="C42" s="123"/>
      <c r="D42" s="123"/>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75"/>
      <c r="B43" s="163"/>
      <c r="C43" s="123"/>
      <c r="D43" s="123"/>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75"/>
      <c r="B44" s="163"/>
      <c r="C44" s="123"/>
      <c r="D44" s="123"/>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75"/>
      <c r="B45" s="163"/>
      <c r="C45" s="123"/>
      <c r="D45" s="123"/>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75"/>
      <c r="B46" s="163"/>
      <c r="C46" s="123"/>
      <c r="D46" s="123"/>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75"/>
      <c r="B47" s="163"/>
      <c r="C47" s="123"/>
      <c r="D47" s="123"/>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75"/>
      <c r="B48" s="163"/>
      <c r="C48" s="123"/>
      <c r="D48" s="123"/>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75"/>
      <c r="B49" s="163"/>
      <c r="C49" s="123"/>
      <c r="D49" s="123"/>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75"/>
      <c r="B50" s="163"/>
      <c r="C50" s="123"/>
      <c r="D50" s="123"/>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75"/>
      <c r="B51" s="163"/>
      <c r="C51" s="123"/>
      <c r="D51" s="123"/>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75"/>
      <c r="B52" s="163"/>
      <c r="C52" s="123"/>
      <c r="D52" s="123"/>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75"/>
      <c r="B53" s="163"/>
      <c r="C53" s="123"/>
      <c r="D53" s="123"/>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75"/>
      <c r="B54" s="163"/>
      <c r="C54" s="123"/>
      <c r="D54" s="123"/>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75"/>
      <c r="B55" s="163"/>
      <c r="C55" s="123"/>
      <c r="D55" s="123"/>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75"/>
      <c r="B56" s="163"/>
      <c r="C56" s="123"/>
      <c r="D56" s="123"/>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75"/>
      <c r="B57" s="163"/>
      <c r="C57" s="123"/>
      <c r="D57" s="123"/>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75"/>
      <c r="B58" s="163"/>
      <c r="C58" s="123"/>
      <c r="D58" s="123"/>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75"/>
      <c r="B59" s="163"/>
      <c r="C59" s="123"/>
      <c r="D59" s="123"/>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75"/>
      <c r="B60" s="163"/>
      <c r="C60" s="123"/>
      <c r="D60" s="123"/>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75"/>
      <c r="B61" s="163"/>
      <c r="C61" s="123"/>
      <c r="D61" s="123"/>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75"/>
      <c r="B62" s="163"/>
      <c r="C62" s="123"/>
      <c r="D62" s="123"/>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75"/>
      <c r="B63" s="163"/>
      <c r="C63" s="123"/>
      <c r="D63" s="123"/>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75"/>
      <c r="B64" s="163"/>
      <c r="C64" s="123"/>
      <c r="D64" s="123"/>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75"/>
      <c r="B65" s="163"/>
      <c r="C65" s="123"/>
      <c r="D65" s="123"/>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75"/>
      <c r="B66" s="163"/>
      <c r="C66" s="123"/>
      <c r="D66" s="123"/>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75"/>
      <c r="B67" s="163"/>
      <c r="C67" s="123"/>
      <c r="D67" s="123"/>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75"/>
      <c r="B68" s="163"/>
      <c r="C68" s="123"/>
      <c r="D68" s="123"/>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75"/>
      <c r="B69" s="163"/>
      <c r="C69" s="123"/>
      <c r="D69" s="123"/>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75"/>
      <c r="B70" s="163"/>
      <c r="C70" s="123"/>
      <c r="D70" s="123"/>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75"/>
      <c r="B71" s="163"/>
      <c r="C71" s="123"/>
      <c r="D71" s="123"/>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75"/>
      <c r="B72" s="163"/>
      <c r="C72" s="123"/>
      <c r="D72" s="123"/>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75"/>
      <c r="B73" s="163"/>
      <c r="C73" s="123"/>
      <c r="D73" s="123"/>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75"/>
      <c r="B74" s="163"/>
      <c r="C74" s="123"/>
      <c r="D74" s="123"/>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75"/>
      <c r="B75" s="163"/>
      <c r="C75" s="123"/>
      <c r="D75" s="123"/>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75"/>
      <c r="B76" s="163"/>
      <c r="C76" s="123"/>
      <c r="D76" s="123"/>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75"/>
      <c r="B77" s="163"/>
      <c r="C77" s="123"/>
      <c r="D77" s="123"/>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75"/>
      <c r="B78" s="163"/>
      <c r="C78" s="123"/>
      <c r="D78" s="123"/>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75"/>
      <c r="B79" s="163"/>
      <c r="C79" s="123"/>
      <c r="D79" s="123"/>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75"/>
      <c r="B80" s="163"/>
      <c r="C80" s="123"/>
      <c r="D80" s="123"/>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75"/>
      <c r="B81" s="163"/>
      <c r="C81" s="123"/>
      <c r="D81" s="123"/>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75"/>
      <c r="B82" s="163"/>
      <c r="C82" s="123"/>
      <c r="D82" s="123"/>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75"/>
      <c r="B83" s="163"/>
      <c r="C83" s="123"/>
      <c r="D83" s="123"/>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75"/>
      <c r="B84" s="163"/>
      <c r="C84" s="123"/>
      <c r="D84" s="123"/>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75"/>
      <c r="B85" s="163"/>
      <c r="C85" s="123"/>
      <c r="D85" s="123"/>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75"/>
      <c r="B86" s="163"/>
      <c r="C86" s="123"/>
      <c r="D86" s="123"/>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75"/>
      <c r="B87" s="163"/>
      <c r="C87" s="123"/>
      <c r="D87" s="123"/>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75"/>
      <c r="B88" s="163"/>
      <c r="C88" s="123"/>
      <c r="D88" s="123"/>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75"/>
      <c r="B89" s="163"/>
      <c r="C89" s="123"/>
      <c r="D89" s="123"/>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75"/>
      <c r="B90" s="163"/>
      <c r="C90" s="123"/>
      <c r="D90" s="123"/>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75"/>
      <c r="B91" s="163"/>
      <c r="C91" s="123"/>
      <c r="D91" s="123"/>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75"/>
      <c r="B92" s="163"/>
      <c r="C92" s="123"/>
      <c r="D92" s="123"/>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75"/>
      <c r="B93" s="163"/>
      <c r="C93" s="123"/>
      <c r="D93" s="123"/>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75"/>
      <c r="B94" s="163"/>
      <c r="C94" s="123"/>
      <c r="D94" s="123"/>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75"/>
      <c r="B95" s="163"/>
      <c r="C95" s="123"/>
      <c r="D95" s="123"/>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75"/>
      <c r="B96" s="163"/>
      <c r="C96" s="123"/>
      <c r="D96" s="123"/>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75"/>
      <c r="B97" s="163"/>
      <c r="C97" s="123"/>
      <c r="D97" s="123"/>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75"/>
      <c r="B98" s="163"/>
      <c r="C98" s="123"/>
      <c r="D98" s="123"/>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75"/>
      <c r="B99" s="163"/>
      <c r="C99" s="123"/>
      <c r="D99" s="123"/>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75"/>
      <c r="B100" s="163"/>
      <c r="C100" s="123"/>
      <c r="D100" s="123"/>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75"/>
      <c r="B101" s="163"/>
      <c r="C101" s="123"/>
      <c r="D101" s="123"/>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75"/>
      <c r="B102" s="163"/>
      <c r="C102" s="123"/>
      <c r="D102" s="123"/>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75"/>
      <c r="B103" s="163"/>
      <c r="C103" s="123"/>
      <c r="D103" s="123"/>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75"/>
      <c r="B104" s="163"/>
      <c r="C104" s="123"/>
      <c r="D104" s="123"/>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75"/>
      <c r="B105" s="163"/>
      <c r="C105" s="123"/>
      <c r="D105" s="123"/>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75"/>
      <c r="B106" s="163"/>
      <c r="C106" s="123"/>
      <c r="D106" s="123"/>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75"/>
      <c r="B107" s="163"/>
      <c r="C107" s="123"/>
      <c r="D107" s="123"/>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75"/>
      <c r="B108" s="163"/>
      <c r="C108" s="123"/>
      <c r="D108" s="123"/>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75"/>
      <c r="B109" s="163"/>
      <c r="C109" s="123"/>
      <c r="D109" s="123"/>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75"/>
      <c r="B110" s="163"/>
      <c r="C110" s="123"/>
      <c r="D110" s="123"/>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75"/>
      <c r="B111" s="163"/>
      <c r="C111" s="123"/>
      <c r="D111" s="123"/>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75"/>
      <c r="B112" s="163"/>
      <c r="C112" s="123"/>
      <c r="D112" s="123"/>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75"/>
      <c r="B113" s="163"/>
      <c r="C113" s="123"/>
      <c r="D113" s="123"/>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75"/>
      <c r="B114" s="163"/>
      <c r="C114" s="123"/>
      <c r="D114" s="123"/>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75"/>
      <c r="B115" s="163"/>
      <c r="C115" s="123"/>
      <c r="D115" s="123"/>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75"/>
      <c r="B116" s="163"/>
      <c r="C116" s="123"/>
      <c r="D116" s="123"/>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75"/>
      <c r="B117" s="163"/>
      <c r="C117" s="123"/>
      <c r="D117" s="123"/>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75"/>
      <c r="B118" s="163"/>
      <c r="C118" s="123"/>
      <c r="D118" s="123"/>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75"/>
      <c r="B119" s="163"/>
      <c r="C119" s="123"/>
      <c r="D119" s="123"/>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75"/>
      <c r="B120" s="163"/>
      <c r="C120" s="123"/>
      <c r="D120" s="123"/>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75"/>
      <c r="B121" s="163"/>
      <c r="C121" s="123"/>
      <c r="D121" s="123"/>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75"/>
      <c r="B122" s="163"/>
      <c r="C122" s="123"/>
      <c r="D122" s="123"/>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75"/>
      <c r="B123" s="163"/>
      <c r="C123" s="123"/>
      <c r="D123" s="123"/>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75"/>
      <c r="B124" s="163"/>
      <c r="C124" s="123"/>
      <c r="D124" s="123"/>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75"/>
      <c r="B125" s="163"/>
      <c r="C125" s="123"/>
      <c r="D125" s="123"/>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75"/>
      <c r="B126" s="163"/>
      <c r="C126" s="123"/>
      <c r="D126" s="123"/>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75"/>
      <c r="B127" s="163"/>
      <c r="C127" s="123"/>
      <c r="D127" s="123"/>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75"/>
      <c r="B128" s="163"/>
      <c r="C128" s="123"/>
      <c r="D128" s="123"/>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75"/>
      <c r="B129" s="163"/>
      <c r="C129" s="123"/>
      <c r="D129" s="123"/>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75"/>
      <c r="B130" s="163"/>
      <c r="C130" s="123"/>
      <c r="D130" s="123"/>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75"/>
      <c r="B131" s="163"/>
      <c r="C131" s="123"/>
      <c r="D131" s="123"/>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75"/>
      <c r="B132" s="163"/>
      <c r="C132" s="123"/>
      <c r="D132" s="123"/>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75"/>
      <c r="B133" s="163"/>
      <c r="C133" s="123"/>
      <c r="D133" s="123"/>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75"/>
      <c r="B134" s="163"/>
      <c r="C134" s="123"/>
      <c r="D134" s="123"/>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75"/>
      <c r="B135" s="163"/>
      <c r="C135" s="123"/>
      <c r="D135" s="123"/>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75"/>
      <c r="B136" s="163"/>
      <c r="C136" s="123"/>
      <c r="D136" s="123"/>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75"/>
      <c r="B137" s="163"/>
      <c r="C137" s="123"/>
      <c r="D137" s="123"/>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75"/>
      <c r="B138" s="163"/>
      <c r="C138" s="123"/>
      <c r="D138" s="123"/>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75"/>
      <c r="B139" s="163"/>
      <c r="C139" s="123"/>
      <c r="D139" s="123"/>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75"/>
      <c r="B140" s="163"/>
      <c r="C140" s="123"/>
      <c r="D140" s="123"/>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75"/>
      <c r="B141" s="163"/>
      <c r="C141" s="123"/>
      <c r="D141" s="123"/>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75"/>
      <c r="B142" s="163"/>
      <c r="C142" s="123"/>
      <c r="D142" s="123"/>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75"/>
      <c r="B143" s="163"/>
      <c r="C143" s="123"/>
      <c r="D143" s="123"/>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75"/>
      <c r="B144" s="163"/>
      <c r="C144" s="123"/>
      <c r="D144" s="123"/>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75"/>
      <c r="B145" s="163"/>
      <c r="C145" s="123"/>
      <c r="D145" s="123"/>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75"/>
      <c r="B146" s="163"/>
      <c r="C146" s="123"/>
      <c r="D146" s="123"/>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75"/>
      <c r="B147" s="163"/>
      <c r="C147" s="123"/>
      <c r="D147" s="123"/>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75"/>
      <c r="B148" s="163"/>
      <c r="C148" s="123"/>
      <c r="D148" s="123"/>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75"/>
      <c r="B149" s="163"/>
      <c r="C149" s="123"/>
      <c r="D149" s="123"/>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75"/>
      <c r="B150" s="163"/>
      <c r="C150" s="123"/>
      <c r="D150" s="123"/>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75"/>
      <c r="B151" s="163"/>
      <c r="C151" s="123"/>
      <c r="D151" s="123"/>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75"/>
      <c r="B152" s="163"/>
      <c r="C152" s="123"/>
      <c r="D152" s="123"/>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75"/>
      <c r="B153" s="163"/>
      <c r="C153" s="123"/>
      <c r="D153" s="123"/>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75"/>
      <c r="B154" s="163"/>
      <c r="C154" s="123"/>
      <c r="D154" s="123"/>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75"/>
      <c r="B155" s="163"/>
      <c r="C155" s="123"/>
      <c r="D155" s="123"/>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75"/>
      <c r="B156" s="163"/>
      <c r="C156" s="123"/>
      <c r="D156" s="123"/>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75"/>
      <c r="B157" s="163"/>
      <c r="C157" s="123"/>
      <c r="D157" s="123"/>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75"/>
      <c r="B158" s="163"/>
      <c r="C158" s="123"/>
      <c r="D158" s="123"/>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75"/>
      <c r="B159" s="163"/>
      <c r="C159" s="123"/>
      <c r="D159" s="123"/>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75"/>
      <c r="B160" s="163"/>
      <c r="C160" s="123"/>
      <c r="D160" s="123"/>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75"/>
      <c r="B161" s="163"/>
      <c r="C161" s="123"/>
      <c r="D161" s="123"/>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75"/>
      <c r="B162" s="163"/>
      <c r="C162" s="123"/>
      <c r="D162" s="123"/>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75"/>
      <c r="B163" s="163"/>
      <c r="C163" s="123"/>
      <c r="D163" s="123"/>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75"/>
      <c r="B164" s="163"/>
      <c r="C164" s="123"/>
      <c r="D164" s="123"/>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75"/>
      <c r="B165" s="163"/>
      <c r="C165" s="123"/>
      <c r="D165" s="123"/>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75"/>
      <c r="B166" s="163"/>
      <c r="C166" s="123"/>
      <c r="D166" s="123"/>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75"/>
      <c r="B167" s="163"/>
      <c r="C167" s="123"/>
      <c r="D167" s="123"/>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75"/>
      <c r="B168" s="163"/>
      <c r="C168" s="123"/>
      <c r="D168" s="123"/>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75"/>
      <c r="B169" s="163"/>
      <c r="C169" s="123"/>
      <c r="D169" s="123"/>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75"/>
      <c r="B170" s="163"/>
      <c r="C170" s="123"/>
      <c r="D170" s="123"/>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75"/>
      <c r="B171" s="163"/>
      <c r="C171" s="123"/>
      <c r="D171" s="123"/>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75"/>
      <c r="B172" s="163"/>
      <c r="C172" s="123"/>
      <c r="D172" s="123"/>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75"/>
      <c r="B173" s="163"/>
      <c r="C173" s="123"/>
      <c r="D173" s="123"/>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75"/>
      <c r="B174" s="163"/>
      <c r="C174" s="123"/>
      <c r="D174" s="123"/>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75"/>
      <c r="B175" s="163"/>
      <c r="C175" s="123"/>
      <c r="D175" s="123"/>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75"/>
      <c r="B176" s="163"/>
      <c r="C176" s="123"/>
      <c r="D176" s="123"/>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75"/>
      <c r="B177" s="163"/>
      <c r="C177" s="123"/>
      <c r="D177" s="123"/>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75"/>
      <c r="B178" s="163"/>
      <c r="C178" s="123"/>
      <c r="D178" s="123"/>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75"/>
      <c r="B179" s="163"/>
      <c r="C179" s="123"/>
      <c r="D179" s="123"/>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75"/>
      <c r="B180" s="163"/>
      <c r="C180" s="123"/>
      <c r="D180" s="123"/>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75"/>
      <c r="B181" s="163"/>
      <c r="C181" s="123"/>
      <c r="D181" s="123"/>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75"/>
      <c r="B182" s="163"/>
      <c r="C182" s="123"/>
      <c r="D182" s="123"/>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75"/>
      <c r="B183" s="163"/>
      <c r="C183" s="123"/>
      <c r="D183" s="123"/>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75"/>
      <c r="B184" s="163"/>
      <c r="C184" s="123"/>
      <c r="D184" s="123"/>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75"/>
      <c r="B185" s="163"/>
      <c r="C185" s="123"/>
      <c r="D185" s="123"/>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75"/>
      <c r="B186" s="163"/>
      <c r="C186" s="123"/>
      <c r="D186" s="123"/>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75"/>
      <c r="B187" s="163"/>
      <c r="C187" s="123"/>
      <c r="D187" s="123"/>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75"/>
      <c r="B188" s="163"/>
      <c r="C188" s="123"/>
      <c r="D188" s="123"/>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75"/>
      <c r="B189" s="163"/>
      <c r="C189" s="123"/>
      <c r="D189" s="123"/>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75"/>
      <c r="B190" s="163"/>
      <c r="C190" s="123"/>
      <c r="D190" s="123"/>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75"/>
      <c r="B191" s="163"/>
      <c r="C191" s="123"/>
      <c r="D191" s="123"/>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75"/>
      <c r="B192" s="163"/>
      <c r="C192" s="123"/>
      <c r="D192" s="123"/>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75"/>
      <c r="B193" s="163"/>
      <c r="C193" s="123"/>
      <c r="D193" s="123"/>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75"/>
      <c r="B194" s="163"/>
      <c r="C194" s="123"/>
      <c r="D194" s="123"/>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75"/>
      <c r="B195" s="163"/>
      <c r="C195" s="123"/>
      <c r="D195" s="123"/>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75"/>
      <c r="B196" s="163"/>
      <c r="C196" s="123"/>
      <c r="D196" s="123"/>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75"/>
      <c r="B197" s="163"/>
      <c r="C197" s="123"/>
      <c r="D197" s="123"/>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75"/>
      <c r="B198" s="163"/>
      <c r="C198" s="123"/>
      <c r="D198" s="123"/>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75"/>
      <c r="B199" s="163"/>
      <c r="C199" s="123"/>
      <c r="D199" s="123"/>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75"/>
      <c r="B200" s="163"/>
      <c r="C200" s="123"/>
      <c r="D200" s="123"/>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75"/>
      <c r="B201" s="163"/>
      <c r="C201" s="123"/>
      <c r="D201" s="123"/>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75"/>
      <c r="B202" s="163"/>
      <c r="C202" s="123"/>
      <c r="D202" s="123"/>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75"/>
      <c r="B203" s="163"/>
      <c r="C203" s="123"/>
      <c r="D203" s="123"/>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75"/>
      <c r="B204" s="163"/>
      <c r="C204" s="123"/>
      <c r="D204" s="123"/>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75"/>
      <c r="B205" s="163"/>
      <c r="C205" s="123"/>
      <c r="D205" s="123"/>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75"/>
      <c r="B206" s="163"/>
      <c r="C206" s="123"/>
      <c r="D206" s="123"/>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75"/>
      <c r="B207" s="163"/>
      <c r="C207" s="123"/>
      <c r="D207" s="123"/>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75"/>
      <c r="B208" s="163"/>
      <c r="C208" s="123"/>
      <c r="D208" s="123"/>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75"/>
      <c r="B209" s="163"/>
      <c r="C209" s="123"/>
      <c r="D209" s="123"/>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75"/>
      <c r="B210" s="163"/>
      <c r="C210" s="123"/>
      <c r="D210" s="123"/>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75"/>
      <c r="B211" s="163"/>
      <c r="C211" s="123"/>
      <c r="D211" s="123"/>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75"/>
      <c r="B212" s="163"/>
      <c r="C212" s="123"/>
      <c r="D212" s="123"/>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75"/>
      <c r="B213" s="163"/>
      <c r="C213" s="123"/>
      <c r="D213" s="123"/>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75"/>
      <c r="B214" s="163"/>
      <c r="C214" s="123"/>
      <c r="D214" s="123"/>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75"/>
      <c r="B215" s="163"/>
      <c r="C215" s="123"/>
      <c r="D215" s="123"/>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75"/>
      <c r="B216" s="163"/>
      <c r="C216" s="123"/>
      <c r="D216" s="123"/>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75"/>
      <c r="B217" s="163"/>
      <c r="C217" s="123"/>
      <c r="D217" s="123"/>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75"/>
      <c r="B218" s="163"/>
      <c r="C218" s="123"/>
      <c r="D218" s="123"/>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75"/>
      <c r="B219" s="163"/>
      <c r="C219" s="123"/>
      <c r="D219" s="123"/>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75"/>
      <c r="B220" s="163"/>
      <c r="C220" s="123"/>
      <c r="D220" s="123"/>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75"/>
      <c r="B221" s="163"/>
      <c r="C221" s="123"/>
      <c r="D221" s="123"/>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75"/>
      <c r="B222" s="163"/>
      <c r="C222" s="123"/>
      <c r="D222" s="123"/>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75"/>
      <c r="B223" s="163"/>
      <c r="C223" s="123"/>
      <c r="D223" s="123"/>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75"/>
      <c r="B224" s="163"/>
      <c r="C224" s="123"/>
      <c r="D224" s="123"/>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75"/>
      <c r="B225" s="163"/>
      <c r="C225" s="123"/>
      <c r="D225" s="123"/>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75"/>
      <c r="B226" s="163"/>
      <c r="C226" s="123"/>
      <c r="D226" s="123"/>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75"/>
      <c r="B227" s="163"/>
      <c r="C227" s="123"/>
      <c r="D227" s="123"/>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75"/>
      <c r="B228" s="163"/>
      <c r="C228" s="123"/>
      <c r="D228" s="123"/>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75"/>
      <c r="B229" s="163"/>
      <c r="C229" s="123"/>
      <c r="D229" s="123"/>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75"/>
      <c r="B230" s="163"/>
      <c r="C230" s="123"/>
      <c r="D230" s="123"/>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75"/>
      <c r="B231" s="163"/>
      <c r="C231" s="123"/>
      <c r="D231" s="123"/>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75"/>
      <c r="B232" s="163"/>
      <c r="C232" s="123"/>
      <c r="D232" s="123"/>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75"/>
      <c r="B233" s="163"/>
      <c r="C233" s="123"/>
      <c r="D233" s="123"/>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75"/>
      <c r="B234" s="163"/>
      <c r="C234" s="123"/>
      <c r="D234" s="123"/>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75"/>
      <c r="B235" s="163"/>
      <c r="C235" s="123"/>
      <c r="D235" s="123"/>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75"/>
      <c r="B236" s="163"/>
      <c r="C236" s="123"/>
      <c r="D236" s="123"/>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75"/>
      <c r="B237" s="163"/>
      <c r="C237" s="123"/>
      <c r="D237" s="123"/>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75"/>
      <c r="B238" s="163"/>
      <c r="C238" s="123"/>
      <c r="D238" s="123"/>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75"/>
      <c r="B239" s="163"/>
      <c r="C239" s="123"/>
      <c r="D239" s="123"/>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75"/>
      <c r="B240" s="163"/>
      <c r="C240" s="123"/>
      <c r="D240" s="123"/>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75"/>
      <c r="B241" s="163"/>
      <c r="C241" s="123"/>
      <c r="D241" s="123"/>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75"/>
      <c r="B242" s="163"/>
      <c r="C242" s="123"/>
      <c r="D242" s="123"/>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75"/>
      <c r="B243" s="163"/>
      <c r="C243" s="123"/>
      <c r="D243" s="123"/>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75"/>
      <c r="B244" s="163"/>
      <c r="C244" s="123"/>
      <c r="D244" s="123"/>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75"/>
      <c r="B245" s="163"/>
      <c r="C245" s="123"/>
      <c r="D245" s="123"/>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75"/>
      <c r="B246" s="163"/>
      <c r="C246" s="123"/>
      <c r="D246" s="123"/>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75"/>
      <c r="B247" s="163"/>
      <c r="C247" s="123"/>
      <c r="D247" s="123"/>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75"/>
      <c r="B248" s="163"/>
      <c r="C248" s="123"/>
      <c r="D248" s="123"/>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75"/>
      <c r="B249" s="163"/>
      <c r="C249" s="123"/>
      <c r="D249" s="123"/>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75"/>
      <c r="B250" s="163"/>
      <c r="C250" s="123"/>
      <c r="D250" s="123"/>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75"/>
      <c r="B251" s="163"/>
      <c r="C251" s="123"/>
      <c r="D251" s="123"/>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75"/>
      <c r="B252" s="163"/>
      <c r="C252" s="123"/>
      <c r="D252" s="123"/>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75"/>
      <c r="B253" s="163"/>
      <c r="C253" s="123"/>
      <c r="D253" s="123"/>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75"/>
      <c r="B254" s="163"/>
      <c r="C254" s="123"/>
      <c r="D254" s="123"/>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75"/>
      <c r="B255" s="163"/>
      <c r="C255" s="123"/>
      <c r="D255" s="123"/>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75"/>
      <c r="B256" s="163"/>
      <c r="C256" s="123"/>
      <c r="D256" s="123"/>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75"/>
      <c r="B257" s="163"/>
      <c r="C257" s="123"/>
      <c r="D257" s="123"/>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75"/>
      <c r="B258" s="163"/>
      <c r="C258" s="123"/>
      <c r="D258" s="123"/>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75"/>
      <c r="B259" s="163"/>
      <c r="C259" s="123"/>
      <c r="D259" s="123"/>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75"/>
      <c r="B260" s="163"/>
      <c r="C260" s="123"/>
      <c r="D260" s="123"/>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75"/>
      <c r="B261" s="163"/>
      <c r="C261" s="123"/>
      <c r="D261" s="123"/>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75"/>
      <c r="B262" s="163"/>
      <c r="C262" s="123"/>
      <c r="D262" s="123"/>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75"/>
      <c r="B263" s="163"/>
      <c r="C263" s="123"/>
      <c r="D263" s="123"/>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75"/>
      <c r="B264" s="163"/>
      <c r="C264" s="123"/>
      <c r="D264" s="123"/>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75"/>
      <c r="B265" s="163"/>
      <c r="C265" s="123"/>
      <c r="D265" s="123"/>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75"/>
      <c r="B266" s="163"/>
      <c r="C266" s="123"/>
      <c r="D266" s="123"/>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75"/>
      <c r="B267" s="163"/>
      <c r="C267" s="123"/>
      <c r="D267" s="123"/>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75"/>
      <c r="B268" s="163"/>
      <c r="C268" s="123"/>
      <c r="D268" s="123"/>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75"/>
      <c r="B269" s="163"/>
      <c r="C269" s="123"/>
      <c r="D269" s="123"/>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75"/>
      <c r="B270" s="163"/>
      <c r="C270" s="123"/>
      <c r="D270" s="123"/>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75"/>
      <c r="B271" s="163"/>
      <c r="C271" s="123"/>
      <c r="D271" s="123"/>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75"/>
      <c r="B272" s="163"/>
      <c r="C272" s="123"/>
      <c r="D272" s="123"/>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75"/>
      <c r="B273" s="163"/>
      <c r="C273" s="123"/>
      <c r="D273" s="123"/>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75"/>
      <c r="B274" s="163"/>
      <c r="C274" s="123"/>
      <c r="D274" s="123"/>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75"/>
      <c r="B275" s="163"/>
      <c r="C275" s="123"/>
      <c r="D275" s="123"/>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75"/>
      <c r="B276" s="163"/>
      <c r="C276" s="123"/>
      <c r="D276" s="123"/>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75"/>
      <c r="B277" s="163"/>
      <c r="C277" s="123"/>
      <c r="D277" s="123"/>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75"/>
      <c r="B278" s="163"/>
      <c r="C278" s="123"/>
      <c r="D278" s="123"/>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75"/>
      <c r="B279" s="163"/>
      <c r="C279" s="123"/>
      <c r="D279" s="123"/>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75"/>
      <c r="B280" s="163"/>
      <c r="C280" s="123"/>
      <c r="D280" s="123"/>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75"/>
      <c r="B281" s="163"/>
      <c r="C281" s="123"/>
      <c r="D281" s="123"/>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75"/>
      <c r="B282" s="163"/>
      <c r="C282" s="123"/>
      <c r="D282" s="123"/>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75"/>
      <c r="B283" s="163"/>
      <c r="C283" s="123"/>
      <c r="D283" s="123"/>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75"/>
      <c r="B284" s="163"/>
      <c r="C284" s="123"/>
      <c r="D284" s="123"/>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75"/>
      <c r="B285" s="163"/>
      <c r="C285" s="123"/>
      <c r="D285" s="123"/>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75"/>
      <c r="B286" s="163"/>
      <c r="C286" s="123"/>
      <c r="D286" s="123"/>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75"/>
      <c r="B287" s="163"/>
      <c r="C287" s="123"/>
      <c r="D287" s="123"/>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75"/>
      <c r="B288" s="163"/>
      <c r="C288" s="123"/>
      <c r="D288" s="123"/>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75"/>
      <c r="B289" s="163"/>
      <c r="C289" s="123"/>
      <c r="D289" s="123"/>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75"/>
      <c r="B290" s="163"/>
      <c r="C290" s="123"/>
      <c r="D290" s="123"/>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75"/>
      <c r="B291" s="163"/>
      <c r="C291" s="123"/>
      <c r="D291" s="123"/>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75"/>
      <c r="B292" s="163"/>
      <c r="C292" s="123"/>
      <c r="D292" s="123"/>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75"/>
      <c r="B293" s="163"/>
      <c r="C293" s="123"/>
      <c r="D293" s="123"/>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75"/>
      <c r="B294" s="163"/>
      <c r="C294" s="123"/>
      <c r="D294" s="123"/>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75"/>
      <c r="B295" s="163"/>
      <c r="C295" s="123"/>
      <c r="D295" s="123"/>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75"/>
      <c r="B296" s="163"/>
      <c r="C296" s="123"/>
      <c r="D296" s="123"/>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75"/>
      <c r="B297" s="163"/>
      <c r="C297" s="123"/>
      <c r="D297" s="123"/>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75"/>
      <c r="B298" s="163"/>
      <c r="C298" s="123"/>
      <c r="D298" s="123"/>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75"/>
      <c r="B299" s="163"/>
      <c r="C299" s="123"/>
      <c r="D299" s="123"/>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75"/>
      <c r="B300" s="163"/>
      <c r="C300" s="123"/>
      <c r="D300" s="123"/>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75"/>
      <c r="B301" s="163"/>
      <c r="C301" s="123"/>
      <c r="D301" s="123"/>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75"/>
      <c r="B302" s="163"/>
      <c r="C302" s="123"/>
      <c r="D302" s="123"/>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75"/>
      <c r="B303" s="163"/>
      <c r="C303" s="123"/>
      <c r="D303" s="123"/>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75"/>
      <c r="B304" s="163"/>
      <c r="C304" s="123"/>
      <c r="D304" s="123"/>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75"/>
      <c r="B305" s="163"/>
      <c r="C305" s="123"/>
      <c r="D305" s="123"/>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75"/>
      <c r="B306" s="163"/>
      <c r="C306" s="123"/>
      <c r="D306" s="123"/>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75"/>
      <c r="B307" s="163"/>
      <c r="C307" s="123"/>
      <c r="D307" s="123"/>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75"/>
      <c r="B308" s="163"/>
      <c r="C308" s="123"/>
      <c r="D308" s="123"/>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75"/>
      <c r="B309" s="163"/>
      <c r="C309" s="123"/>
      <c r="D309" s="123"/>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75"/>
      <c r="B310" s="163"/>
      <c r="C310" s="123"/>
      <c r="D310" s="123"/>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75"/>
      <c r="B311" s="163"/>
      <c r="C311" s="123"/>
      <c r="D311" s="123"/>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75"/>
      <c r="B312" s="163"/>
      <c r="C312" s="123"/>
      <c r="D312" s="123"/>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75"/>
      <c r="B313" s="163"/>
      <c r="C313" s="123"/>
      <c r="D313" s="123"/>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75"/>
      <c r="B314" s="163"/>
      <c r="C314" s="123"/>
      <c r="D314" s="123"/>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75"/>
      <c r="B315" s="163"/>
      <c r="C315" s="123"/>
      <c r="D315" s="123"/>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75"/>
      <c r="B316" s="163"/>
      <c r="C316" s="123"/>
      <c r="D316" s="123"/>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75"/>
      <c r="B317" s="163"/>
      <c r="C317" s="123"/>
      <c r="D317" s="123"/>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75"/>
      <c r="B318" s="163"/>
      <c r="C318" s="123"/>
      <c r="D318" s="123"/>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75"/>
      <c r="B319" s="163"/>
      <c r="C319" s="123"/>
      <c r="D319" s="123"/>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75"/>
      <c r="B320" s="163"/>
      <c r="C320" s="123"/>
      <c r="D320" s="123"/>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75"/>
      <c r="B321" s="163"/>
      <c r="C321" s="123"/>
      <c r="D321" s="123"/>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75"/>
      <c r="B322" s="163"/>
      <c r="C322" s="123"/>
      <c r="D322" s="123"/>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75"/>
      <c r="B323" s="163"/>
      <c r="C323" s="123"/>
      <c r="D323" s="123"/>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75"/>
      <c r="B324" s="163"/>
      <c r="C324" s="123"/>
      <c r="D324" s="123"/>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75"/>
      <c r="B325" s="163"/>
      <c r="C325" s="123"/>
      <c r="D325" s="123"/>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75"/>
      <c r="B326" s="163"/>
      <c r="C326" s="123"/>
      <c r="D326" s="123"/>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75"/>
      <c r="B327" s="163"/>
      <c r="C327" s="123"/>
      <c r="D327" s="123"/>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75"/>
      <c r="B328" s="163"/>
      <c r="C328" s="123"/>
      <c r="D328" s="123"/>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75"/>
      <c r="B329" s="163"/>
      <c r="C329" s="123"/>
      <c r="D329" s="123"/>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75"/>
      <c r="B330" s="163"/>
      <c r="C330" s="123"/>
      <c r="D330" s="123"/>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75"/>
      <c r="B331" s="163"/>
      <c r="C331" s="123"/>
      <c r="D331" s="123"/>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75"/>
      <c r="B332" s="163"/>
      <c r="C332" s="123"/>
      <c r="D332" s="123"/>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75"/>
      <c r="B333" s="163"/>
      <c r="C333" s="123"/>
      <c r="D333" s="123"/>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75"/>
      <c r="B334" s="163"/>
      <c r="C334" s="123"/>
      <c r="D334" s="123"/>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75"/>
      <c r="B335" s="163"/>
      <c r="C335" s="123"/>
      <c r="D335" s="123"/>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75"/>
      <c r="B336" s="163"/>
      <c r="C336" s="123"/>
      <c r="D336" s="123"/>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75"/>
      <c r="B337" s="163"/>
      <c r="C337" s="123"/>
      <c r="D337" s="123"/>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75"/>
      <c r="B338" s="163"/>
      <c r="C338" s="123"/>
      <c r="D338" s="123"/>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75"/>
      <c r="B339" s="163"/>
      <c r="C339" s="123"/>
      <c r="D339" s="123"/>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75"/>
      <c r="B340" s="163"/>
      <c r="C340" s="123"/>
      <c r="D340" s="123"/>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75"/>
      <c r="B341" s="163"/>
      <c r="C341" s="123"/>
      <c r="D341" s="123"/>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75"/>
      <c r="B342" s="163"/>
      <c r="C342" s="123"/>
      <c r="D342" s="123"/>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75"/>
      <c r="B343" s="163"/>
      <c r="C343" s="123"/>
      <c r="D343" s="123"/>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75"/>
      <c r="B344" s="163"/>
      <c r="C344" s="123"/>
      <c r="D344" s="123"/>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75"/>
      <c r="B345" s="163"/>
      <c r="C345" s="123"/>
      <c r="D345" s="123"/>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75"/>
      <c r="B346" s="163"/>
      <c r="C346" s="123"/>
      <c r="D346" s="123"/>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75"/>
      <c r="B347" s="163"/>
      <c r="C347" s="123"/>
      <c r="D347" s="123"/>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75"/>
      <c r="B348" s="163"/>
      <c r="C348" s="123"/>
      <c r="D348" s="123"/>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75"/>
      <c r="B349" s="163"/>
      <c r="C349" s="123"/>
      <c r="D349" s="123"/>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75"/>
      <c r="B350" s="163"/>
      <c r="C350" s="123"/>
      <c r="D350" s="123"/>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75"/>
      <c r="B351" s="163"/>
      <c r="C351" s="123"/>
      <c r="D351" s="123"/>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75"/>
      <c r="B352" s="163"/>
      <c r="C352" s="123"/>
      <c r="D352" s="123"/>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75"/>
      <c r="B353" s="163"/>
      <c r="C353" s="123"/>
      <c r="D353" s="123"/>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75"/>
      <c r="B354" s="163"/>
      <c r="C354" s="123"/>
      <c r="D354" s="123"/>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75"/>
      <c r="B355" s="163"/>
      <c r="C355" s="123"/>
      <c r="D355" s="123"/>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75"/>
      <c r="B356" s="163"/>
      <c r="C356" s="123"/>
      <c r="D356" s="123"/>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75"/>
      <c r="B357" s="163"/>
      <c r="C357" s="123"/>
      <c r="D357" s="123"/>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75"/>
      <c r="B358" s="163"/>
      <c r="C358" s="123"/>
      <c r="D358" s="123"/>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75"/>
      <c r="B359" s="163"/>
      <c r="C359" s="123"/>
      <c r="D359" s="123"/>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75"/>
      <c r="B360" s="163"/>
      <c r="C360" s="123"/>
      <c r="D360" s="123"/>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75"/>
      <c r="B361" s="163"/>
      <c r="C361" s="123"/>
      <c r="D361" s="123"/>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75"/>
      <c r="B362" s="163"/>
      <c r="C362" s="123"/>
      <c r="D362" s="123"/>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75"/>
      <c r="B363" s="163"/>
      <c r="C363" s="123"/>
      <c r="D363" s="123"/>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75"/>
      <c r="B364" s="163"/>
      <c r="C364" s="123"/>
      <c r="D364" s="123"/>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75"/>
      <c r="B365" s="163"/>
      <c r="C365" s="123"/>
      <c r="D365" s="123"/>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75"/>
      <c r="B366" s="163"/>
      <c r="C366" s="123"/>
      <c r="D366" s="123"/>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75"/>
      <c r="B367" s="163"/>
      <c r="C367" s="123"/>
      <c r="D367" s="123"/>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75"/>
      <c r="B368" s="163"/>
      <c r="C368" s="123"/>
      <c r="D368" s="123"/>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75"/>
      <c r="B369" s="163"/>
      <c r="C369" s="123"/>
      <c r="D369" s="123"/>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75"/>
      <c r="B370" s="163"/>
      <c r="C370" s="123"/>
      <c r="D370" s="123"/>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75"/>
      <c r="B371" s="163"/>
      <c r="C371" s="123"/>
      <c r="D371" s="123"/>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75"/>
      <c r="B372" s="163"/>
      <c r="C372" s="123"/>
      <c r="D372" s="123"/>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75"/>
      <c r="B373" s="163"/>
      <c r="C373" s="123"/>
      <c r="D373" s="123"/>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75"/>
      <c r="B374" s="163"/>
      <c r="C374" s="123"/>
      <c r="D374" s="123"/>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75"/>
      <c r="B375" s="163"/>
      <c r="C375" s="123"/>
      <c r="D375" s="123"/>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75"/>
      <c r="B376" s="163"/>
      <c r="C376" s="123"/>
      <c r="D376" s="123"/>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75"/>
      <c r="B377" s="163"/>
      <c r="C377" s="123"/>
      <c r="D377" s="123"/>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75"/>
      <c r="B378" s="163"/>
      <c r="C378" s="123"/>
      <c r="D378" s="123"/>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75"/>
      <c r="B379" s="163"/>
      <c r="C379" s="123"/>
      <c r="D379" s="123"/>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75"/>
      <c r="B380" s="163"/>
      <c r="C380" s="123"/>
      <c r="D380" s="123"/>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75"/>
      <c r="B381" s="163"/>
      <c r="C381" s="123"/>
      <c r="D381" s="123"/>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75"/>
      <c r="B382" s="163"/>
      <c r="C382" s="123"/>
      <c r="D382" s="123"/>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75"/>
      <c r="B383" s="163"/>
      <c r="C383" s="123"/>
      <c r="D383" s="123"/>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75"/>
      <c r="B384" s="163"/>
      <c r="C384" s="123"/>
      <c r="D384" s="123"/>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75"/>
      <c r="B385" s="163"/>
      <c r="C385" s="123"/>
      <c r="D385" s="123"/>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75"/>
      <c r="B386" s="163"/>
      <c r="C386" s="123"/>
      <c r="D386" s="123"/>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75"/>
      <c r="B387" s="163"/>
      <c r="C387" s="123"/>
      <c r="D387" s="123"/>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75"/>
      <c r="B388" s="163"/>
      <c r="C388" s="123"/>
      <c r="D388" s="123"/>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75"/>
      <c r="B389" s="163"/>
      <c r="C389" s="123"/>
      <c r="D389" s="123"/>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75"/>
      <c r="B390" s="163"/>
      <c r="C390" s="123"/>
      <c r="D390" s="123"/>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75"/>
      <c r="B391" s="163"/>
      <c r="C391" s="123"/>
      <c r="D391" s="123"/>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75"/>
      <c r="B392" s="163"/>
      <c r="C392" s="123"/>
      <c r="D392" s="123"/>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75"/>
      <c r="B393" s="163"/>
      <c r="C393" s="123"/>
      <c r="D393" s="123"/>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75"/>
      <c r="B394" s="163"/>
      <c r="C394" s="123"/>
      <c r="D394" s="123"/>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75"/>
      <c r="B395" s="163"/>
      <c r="C395" s="123"/>
      <c r="D395" s="123"/>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75"/>
      <c r="B396" s="163"/>
      <c r="C396" s="123"/>
      <c r="D396" s="123"/>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75"/>
      <c r="B397" s="163"/>
      <c r="C397" s="123"/>
      <c r="D397" s="123"/>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75"/>
      <c r="B398" s="163"/>
      <c r="C398" s="123"/>
      <c r="D398" s="123"/>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75"/>
      <c r="B399" s="163"/>
      <c r="C399" s="123"/>
      <c r="D399" s="123"/>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75"/>
      <c r="B400" s="163"/>
      <c r="C400" s="123"/>
      <c r="D400" s="123"/>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75"/>
      <c r="B401" s="163"/>
      <c r="C401" s="123"/>
      <c r="D401" s="123"/>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75"/>
      <c r="B402" s="163"/>
      <c r="C402" s="123"/>
      <c r="D402" s="123"/>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75"/>
      <c r="B403" s="163"/>
      <c r="C403" s="123"/>
      <c r="D403" s="123"/>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75"/>
      <c r="B404" s="163"/>
      <c r="C404" s="123"/>
      <c r="D404" s="123"/>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75"/>
      <c r="B405" s="163"/>
      <c r="C405" s="123"/>
      <c r="D405" s="123"/>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75"/>
      <c r="B406" s="163"/>
      <c r="C406" s="123"/>
      <c r="D406" s="123"/>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75"/>
      <c r="B407" s="163"/>
      <c r="C407" s="123"/>
      <c r="D407" s="123"/>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75"/>
      <c r="B408" s="163"/>
      <c r="C408" s="123"/>
      <c r="D408" s="123"/>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75"/>
      <c r="B409" s="163"/>
      <c r="C409" s="123"/>
      <c r="D409" s="123"/>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75"/>
      <c r="B410" s="163"/>
      <c r="C410" s="123"/>
      <c r="D410" s="123"/>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75"/>
      <c r="B411" s="163"/>
      <c r="C411" s="123"/>
      <c r="D411" s="123"/>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75"/>
      <c r="B412" s="163"/>
      <c r="C412" s="123"/>
      <c r="D412" s="123"/>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75"/>
      <c r="B413" s="163"/>
      <c r="C413" s="123"/>
      <c r="D413" s="123"/>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75"/>
      <c r="B414" s="163"/>
      <c r="C414" s="123"/>
      <c r="D414" s="123"/>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75"/>
      <c r="B415" s="163"/>
      <c r="C415" s="123"/>
      <c r="D415" s="123"/>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75"/>
      <c r="B416" s="163"/>
      <c r="C416" s="123"/>
      <c r="D416" s="123"/>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75"/>
      <c r="B417" s="163"/>
      <c r="C417" s="123"/>
      <c r="D417" s="123"/>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75"/>
      <c r="B418" s="163"/>
      <c r="C418" s="123"/>
      <c r="D418" s="123"/>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75"/>
      <c r="B419" s="163"/>
      <c r="C419" s="123"/>
      <c r="D419" s="123"/>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75"/>
      <c r="B420" s="163"/>
      <c r="C420" s="123"/>
      <c r="D420" s="123"/>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75"/>
      <c r="B421" s="163"/>
      <c r="C421" s="123"/>
      <c r="D421" s="123"/>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75"/>
      <c r="B422" s="163"/>
      <c r="C422" s="123"/>
      <c r="D422" s="123"/>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75"/>
      <c r="B423" s="163"/>
      <c r="C423" s="123"/>
      <c r="D423" s="123"/>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75"/>
      <c r="B424" s="163"/>
      <c r="C424" s="123"/>
      <c r="D424" s="123"/>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75"/>
      <c r="B425" s="163"/>
      <c r="C425" s="123"/>
      <c r="D425" s="123"/>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75"/>
      <c r="B426" s="163"/>
      <c r="C426" s="123"/>
      <c r="D426" s="123"/>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75"/>
      <c r="B427" s="163"/>
      <c r="C427" s="123"/>
      <c r="D427" s="123"/>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75"/>
      <c r="B428" s="163"/>
      <c r="C428" s="123"/>
      <c r="D428" s="123"/>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75"/>
      <c r="B429" s="163"/>
      <c r="C429" s="123"/>
      <c r="D429" s="123"/>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75"/>
      <c r="B430" s="163"/>
      <c r="C430" s="123"/>
      <c r="D430" s="123"/>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75"/>
      <c r="B431" s="163"/>
      <c r="C431" s="123"/>
      <c r="D431" s="123"/>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75"/>
      <c r="B432" s="163"/>
      <c r="C432" s="123"/>
      <c r="D432" s="123"/>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75"/>
      <c r="B433" s="163"/>
      <c r="C433" s="123"/>
      <c r="D433" s="123"/>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75"/>
      <c r="B434" s="163"/>
      <c r="C434" s="123"/>
      <c r="D434" s="123"/>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75"/>
      <c r="B435" s="163"/>
      <c r="C435" s="123"/>
      <c r="D435" s="123"/>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75"/>
      <c r="B436" s="163"/>
      <c r="C436" s="123"/>
      <c r="D436" s="123"/>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75"/>
      <c r="B437" s="163"/>
      <c r="C437" s="123"/>
      <c r="D437" s="123"/>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75"/>
      <c r="B438" s="163"/>
      <c r="C438" s="123"/>
      <c r="D438" s="123"/>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75"/>
      <c r="B439" s="163"/>
      <c r="C439" s="123"/>
      <c r="D439" s="123"/>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75"/>
      <c r="B440" s="163"/>
      <c r="C440" s="123"/>
      <c r="D440" s="123"/>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75"/>
      <c r="B441" s="163"/>
      <c r="C441" s="123"/>
      <c r="D441" s="123"/>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75"/>
      <c r="B442" s="163"/>
      <c r="C442" s="123"/>
      <c r="D442" s="123"/>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75"/>
      <c r="B443" s="163"/>
      <c r="C443" s="123"/>
      <c r="D443" s="123"/>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75"/>
      <c r="B444" s="163"/>
      <c r="C444" s="123"/>
      <c r="D444" s="123"/>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75"/>
      <c r="B445" s="163"/>
      <c r="C445" s="123"/>
      <c r="D445" s="123"/>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75"/>
      <c r="B446" s="163"/>
      <c r="C446" s="123"/>
      <c r="D446" s="123"/>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75"/>
      <c r="B447" s="163"/>
      <c r="C447" s="123"/>
      <c r="D447" s="123"/>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75"/>
      <c r="B448" s="163"/>
      <c r="C448" s="123"/>
      <c r="D448" s="123"/>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75"/>
      <c r="B449" s="163"/>
      <c r="C449" s="123"/>
      <c r="D449" s="123"/>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75"/>
      <c r="B450" s="163"/>
      <c r="C450" s="123"/>
      <c r="D450" s="123"/>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75"/>
      <c r="B451" s="163"/>
      <c r="C451" s="123"/>
      <c r="D451" s="123"/>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75"/>
      <c r="B452" s="163"/>
      <c r="C452" s="123"/>
      <c r="D452" s="123"/>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75"/>
      <c r="B453" s="163"/>
      <c r="C453" s="123"/>
      <c r="D453" s="123"/>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75"/>
      <c r="B454" s="163"/>
      <c r="C454" s="123"/>
      <c r="D454" s="123"/>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75"/>
      <c r="B455" s="163"/>
      <c r="C455" s="123"/>
      <c r="D455" s="123"/>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75"/>
      <c r="B456" s="163"/>
      <c r="C456" s="123"/>
      <c r="D456" s="123"/>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75"/>
      <c r="B457" s="163"/>
      <c r="C457" s="123"/>
      <c r="D457" s="123"/>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75"/>
      <c r="B458" s="163"/>
      <c r="C458" s="123"/>
      <c r="D458" s="123"/>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75"/>
      <c r="B459" s="163"/>
      <c r="C459" s="123"/>
      <c r="D459" s="123"/>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75"/>
      <c r="B460" s="163"/>
      <c r="C460" s="123"/>
      <c r="D460" s="123"/>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75"/>
      <c r="B461" s="163"/>
      <c r="C461" s="123"/>
      <c r="D461" s="123"/>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75"/>
      <c r="B462" s="163"/>
      <c r="C462" s="123"/>
      <c r="D462" s="123"/>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75"/>
      <c r="B463" s="163"/>
      <c r="C463" s="123"/>
      <c r="D463" s="123"/>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75"/>
      <c r="B464" s="163"/>
      <c r="C464" s="123"/>
      <c r="D464" s="123"/>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75"/>
      <c r="B465" s="163"/>
      <c r="C465" s="123"/>
      <c r="D465" s="123"/>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75"/>
      <c r="B466" s="163"/>
      <c r="C466" s="123"/>
      <c r="D466" s="123"/>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75"/>
      <c r="B467" s="163"/>
      <c r="C467" s="123"/>
      <c r="D467" s="123"/>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75"/>
      <c r="B468" s="163"/>
      <c r="C468" s="123"/>
      <c r="D468" s="123"/>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75"/>
      <c r="B469" s="163"/>
      <c r="C469" s="123"/>
      <c r="D469" s="123"/>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75"/>
      <c r="B470" s="163"/>
      <c r="C470" s="123"/>
      <c r="D470" s="123"/>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75"/>
      <c r="B471" s="163"/>
      <c r="C471" s="123"/>
      <c r="D471" s="123"/>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75"/>
      <c r="B472" s="163"/>
      <c r="C472" s="123"/>
      <c r="D472" s="123"/>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75"/>
      <c r="B473" s="163"/>
      <c r="C473" s="123"/>
      <c r="D473" s="123"/>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75"/>
      <c r="B474" s="163"/>
      <c r="C474" s="123"/>
      <c r="D474" s="123"/>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75"/>
      <c r="B475" s="163"/>
      <c r="C475" s="123"/>
      <c r="D475" s="123"/>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75"/>
      <c r="B476" s="163"/>
      <c r="C476" s="123"/>
      <c r="D476" s="123"/>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75"/>
      <c r="B477" s="163"/>
      <c r="C477" s="123"/>
      <c r="D477" s="123"/>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75"/>
      <c r="B478" s="163"/>
      <c r="C478" s="123"/>
      <c r="D478" s="123"/>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75"/>
      <c r="B479" s="163"/>
      <c r="C479" s="123"/>
      <c r="D479" s="123"/>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75"/>
      <c r="B480" s="163"/>
      <c r="C480" s="123"/>
      <c r="D480" s="123"/>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75"/>
      <c r="B481" s="163"/>
      <c r="C481" s="123"/>
      <c r="D481" s="123"/>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75"/>
      <c r="B482" s="163"/>
      <c r="C482" s="123"/>
      <c r="D482" s="123"/>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75"/>
      <c r="B483" s="163"/>
      <c r="C483" s="123"/>
      <c r="D483" s="123"/>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75"/>
      <c r="B484" s="163"/>
      <c r="C484" s="123"/>
      <c r="D484" s="123"/>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75"/>
      <c r="B485" s="163"/>
      <c r="C485" s="123"/>
      <c r="D485" s="123"/>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75"/>
      <c r="B486" s="163"/>
      <c r="C486" s="123"/>
      <c r="D486" s="123"/>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75"/>
      <c r="B487" s="163"/>
      <c r="C487" s="123"/>
      <c r="D487" s="123"/>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75"/>
      <c r="B488" s="163"/>
      <c r="C488" s="123"/>
      <c r="D488" s="123"/>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75"/>
      <c r="B489" s="163"/>
      <c r="C489" s="123"/>
      <c r="D489" s="123"/>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75"/>
      <c r="B490" s="163"/>
      <c r="C490" s="123"/>
      <c r="D490" s="123"/>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75"/>
      <c r="B491" s="163"/>
      <c r="C491" s="123"/>
      <c r="D491" s="123"/>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75"/>
      <c r="B492" s="163"/>
      <c r="C492" s="123"/>
      <c r="D492" s="123"/>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75"/>
      <c r="B493" s="163"/>
      <c r="C493" s="123"/>
      <c r="D493" s="123"/>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75"/>
      <c r="B494" s="163"/>
      <c r="C494" s="123"/>
      <c r="D494" s="123"/>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75"/>
      <c r="B495" s="163"/>
      <c r="C495" s="123"/>
      <c r="D495" s="123"/>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75"/>
      <c r="B496" s="163"/>
      <c r="C496" s="123"/>
      <c r="D496" s="123"/>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75"/>
      <c r="B497" s="163"/>
      <c r="C497" s="123"/>
      <c r="D497" s="123"/>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75"/>
      <c r="B498" s="163"/>
      <c r="C498" s="123"/>
      <c r="D498" s="123"/>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75"/>
      <c r="B499" s="163"/>
      <c r="C499" s="123"/>
      <c r="D499" s="123"/>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75"/>
      <c r="B500" s="163"/>
      <c r="C500" s="123"/>
      <c r="D500" s="123"/>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75"/>
      <c r="B501" s="163"/>
      <c r="C501" s="123"/>
      <c r="D501" s="123"/>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75"/>
      <c r="B502" s="163"/>
      <c r="C502" s="123"/>
      <c r="D502" s="123"/>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75"/>
      <c r="B503" s="163"/>
      <c r="C503" s="123"/>
      <c r="D503" s="123"/>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75"/>
      <c r="B504" s="163"/>
      <c r="C504" s="123"/>
      <c r="D504" s="123"/>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75"/>
      <c r="B505" s="163"/>
      <c r="C505" s="123"/>
      <c r="D505" s="123"/>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75"/>
      <c r="B506" s="163"/>
      <c r="C506" s="123"/>
      <c r="D506" s="123"/>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75"/>
      <c r="B507" s="163"/>
      <c r="C507" s="123"/>
      <c r="D507" s="123"/>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75"/>
      <c r="B508" s="163"/>
      <c r="C508" s="123"/>
      <c r="D508" s="123"/>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75"/>
      <c r="B509" s="163"/>
      <c r="C509" s="123"/>
      <c r="D509" s="123"/>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75"/>
      <c r="B510" s="163"/>
      <c r="C510" s="123"/>
      <c r="D510" s="123"/>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75"/>
      <c r="B511" s="163"/>
      <c r="C511" s="123"/>
      <c r="D511" s="123"/>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75"/>
      <c r="B512" s="163"/>
      <c r="C512" s="123"/>
      <c r="D512" s="123"/>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75"/>
      <c r="B513" s="163"/>
      <c r="C513" s="123"/>
      <c r="D513" s="123"/>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75"/>
      <c r="B514" s="163"/>
      <c r="C514" s="123"/>
      <c r="D514" s="123"/>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75"/>
      <c r="B515" s="163"/>
      <c r="C515" s="123"/>
      <c r="D515" s="123"/>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75"/>
      <c r="B516" s="163"/>
      <c r="C516" s="123"/>
      <c r="D516" s="123"/>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75"/>
      <c r="B517" s="163"/>
      <c r="C517" s="123"/>
      <c r="D517" s="123"/>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75"/>
      <c r="B518" s="163"/>
      <c r="C518" s="123"/>
      <c r="D518" s="123"/>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75"/>
      <c r="B519" s="163"/>
      <c r="C519" s="123"/>
      <c r="D519" s="123"/>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75"/>
      <c r="B520" s="163"/>
      <c r="C520" s="123"/>
      <c r="D520" s="123"/>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75"/>
      <c r="B521" s="163"/>
      <c r="C521" s="123"/>
      <c r="D521" s="123"/>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75"/>
      <c r="B522" s="163"/>
      <c r="C522" s="123"/>
      <c r="D522" s="123"/>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75"/>
      <c r="B523" s="163"/>
      <c r="C523" s="123"/>
      <c r="D523" s="123"/>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75"/>
      <c r="B524" s="163"/>
      <c r="C524" s="123"/>
      <c r="D524" s="123"/>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75"/>
      <c r="B525" s="163"/>
      <c r="C525" s="123"/>
      <c r="D525" s="123"/>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75"/>
      <c r="B526" s="163"/>
      <c r="C526" s="123"/>
      <c r="D526" s="123"/>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75"/>
      <c r="B527" s="163"/>
      <c r="C527" s="123"/>
      <c r="D527" s="123"/>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75"/>
      <c r="B528" s="163"/>
      <c r="C528" s="123"/>
      <c r="D528" s="123"/>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75"/>
      <c r="B529" s="163"/>
      <c r="C529" s="123"/>
      <c r="D529" s="123"/>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75"/>
      <c r="B530" s="163"/>
      <c r="C530" s="123"/>
      <c r="D530" s="123"/>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75"/>
      <c r="B531" s="163"/>
      <c r="C531" s="123"/>
      <c r="D531" s="123"/>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75"/>
      <c r="B532" s="163"/>
      <c r="C532" s="123"/>
      <c r="D532" s="123"/>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75"/>
      <c r="B533" s="163"/>
      <c r="C533" s="123"/>
      <c r="D533" s="123"/>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75"/>
      <c r="B534" s="163"/>
      <c r="C534" s="123"/>
      <c r="D534" s="123"/>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75"/>
      <c r="B535" s="163"/>
      <c r="C535" s="123"/>
      <c r="D535" s="123"/>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75"/>
      <c r="B536" s="163"/>
      <c r="C536" s="123"/>
      <c r="D536" s="123"/>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75"/>
      <c r="B537" s="163"/>
      <c r="C537" s="123"/>
      <c r="D537" s="123"/>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75"/>
      <c r="B538" s="163"/>
      <c r="C538" s="123"/>
      <c r="D538" s="123"/>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75"/>
      <c r="B539" s="163"/>
      <c r="C539" s="123"/>
      <c r="D539" s="123"/>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75"/>
      <c r="B540" s="163"/>
      <c r="C540" s="123"/>
      <c r="D540" s="123"/>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75"/>
      <c r="B541" s="163"/>
      <c r="C541" s="123"/>
      <c r="D541" s="123"/>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75"/>
      <c r="B542" s="163"/>
      <c r="C542" s="123"/>
      <c r="D542" s="123"/>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75"/>
      <c r="B543" s="163"/>
      <c r="C543" s="123"/>
      <c r="D543" s="123"/>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75"/>
      <c r="B544" s="163"/>
      <c r="C544" s="123"/>
      <c r="D544" s="123"/>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75"/>
      <c r="B545" s="163"/>
      <c r="C545" s="123"/>
      <c r="D545" s="123"/>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75"/>
      <c r="B546" s="163"/>
      <c r="C546" s="123"/>
      <c r="D546" s="123"/>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75"/>
      <c r="B547" s="163"/>
      <c r="C547" s="123"/>
      <c r="D547" s="123"/>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75"/>
      <c r="B548" s="163"/>
      <c r="C548" s="123"/>
      <c r="D548" s="123"/>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75"/>
      <c r="B549" s="163"/>
      <c r="C549" s="123"/>
      <c r="D549" s="123"/>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75"/>
      <c r="B550" s="163"/>
      <c r="C550" s="123"/>
      <c r="D550" s="123"/>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75"/>
      <c r="B551" s="163"/>
      <c r="C551" s="123"/>
      <c r="D551" s="123"/>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75"/>
      <c r="B552" s="163"/>
      <c r="C552" s="123"/>
      <c r="D552" s="123"/>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75"/>
      <c r="B553" s="163"/>
      <c r="C553" s="123"/>
      <c r="D553" s="123"/>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75"/>
      <c r="B554" s="163"/>
      <c r="C554" s="123"/>
      <c r="D554" s="123"/>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75"/>
      <c r="B555" s="163"/>
      <c r="C555" s="123"/>
      <c r="D555" s="123"/>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75"/>
      <c r="B556" s="163"/>
      <c r="C556" s="123"/>
      <c r="D556" s="123"/>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75"/>
      <c r="B557" s="163"/>
      <c r="C557" s="123"/>
      <c r="D557" s="123"/>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75"/>
      <c r="B558" s="163"/>
      <c r="C558" s="123"/>
      <c r="D558" s="123"/>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75"/>
      <c r="B559" s="163"/>
      <c r="C559" s="123"/>
      <c r="D559" s="123"/>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75"/>
      <c r="B560" s="163"/>
      <c r="C560" s="123"/>
      <c r="D560" s="123"/>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75"/>
      <c r="B561" s="163"/>
      <c r="C561" s="123"/>
      <c r="D561" s="123"/>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75"/>
      <c r="B562" s="163"/>
      <c r="C562" s="123"/>
      <c r="D562" s="123"/>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75"/>
      <c r="B563" s="163"/>
      <c r="C563" s="123"/>
      <c r="D563" s="123"/>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75"/>
      <c r="B564" s="163"/>
      <c r="C564" s="123"/>
      <c r="D564" s="123"/>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75"/>
      <c r="B565" s="163"/>
      <c r="C565" s="123"/>
      <c r="D565" s="123"/>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75"/>
      <c r="B566" s="163"/>
      <c r="C566" s="123"/>
      <c r="D566" s="123"/>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75"/>
      <c r="B567" s="163"/>
      <c r="C567" s="123"/>
      <c r="D567" s="123"/>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75"/>
      <c r="B568" s="163"/>
      <c r="C568" s="123"/>
      <c r="D568" s="123"/>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75"/>
      <c r="B569" s="163"/>
      <c r="C569" s="123"/>
      <c r="D569" s="123"/>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75"/>
      <c r="B570" s="163"/>
      <c r="C570" s="123"/>
      <c r="D570" s="123"/>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75"/>
      <c r="B571" s="163"/>
      <c r="C571" s="123"/>
      <c r="D571" s="123"/>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75"/>
      <c r="B572" s="163"/>
      <c r="C572" s="123"/>
      <c r="D572" s="123"/>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75"/>
      <c r="B573" s="163"/>
      <c r="C573" s="123"/>
      <c r="D573" s="123"/>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75"/>
      <c r="B574" s="163"/>
      <c r="C574" s="123"/>
      <c r="D574" s="123"/>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75"/>
      <c r="B575" s="163"/>
      <c r="C575" s="123"/>
      <c r="D575" s="123"/>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75"/>
      <c r="B576" s="163"/>
      <c r="C576" s="123"/>
      <c r="D576" s="123"/>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75"/>
      <c r="B577" s="163"/>
      <c r="C577" s="123"/>
      <c r="D577" s="123"/>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75"/>
      <c r="B578" s="163"/>
      <c r="C578" s="123"/>
      <c r="D578" s="123"/>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75"/>
      <c r="B579" s="163"/>
      <c r="C579" s="123"/>
      <c r="D579" s="123"/>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75"/>
      <c r="B580" s="163"/>
      <c r="C580" s="123"/>
      <c r="D580" s="123"/>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75"/>
      <c r="B581" s="163"/>
      <c r="C581" s="123"/>
      <c r="D581" s="123"/>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75"/>
      <c r="B582" s="163"/>
      <c r="C582" s="123"/>
      <c r="D582" s="123"/>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75"/>
      <c r="B583" s="163"/>
      <c r="C583" s="123"/>
      <c r="D583" s="123"/>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75"/>
      <c r="B584" s="163"/>
      <c r="C584" s="123"/>
      <c r="D584" s="123"/>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75"/>
      <c r="B585" s="163"/>
      <c r="C585" s="123"/>
      <c r="D585" s="123"/>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75"/>
      <c r="B586" s="163"/>
      <c r="C586" s="123"/>
      <c r="D586" s="123"/>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75"/>
      <c r="B587" s="163"/>
      <c r="C587" s="123"/>
      <c r="D587" s="123"/>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75"/>
      <c r="B588" s="163"/>
      <c r="C588" s="123"/>
      <c r="D588" s="123"/>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75"/>
      <c r="B589" s="163"/>
      <c r="C589" s="123"/>
      <c r="D589" s="123"/>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75"/>
      <c r="B590" s="163"/>
      <c r="C590" s="123"/>
      <c r="D590" s="123"/>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75"/>
      <c r="B591" s="163"/>
      <c r="C591" s="123"/>
      <c r="D591" s="123"/>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75"/>
      <c r="B592" s="163"/>
      <c r="C592" s="123"/>
      <c r="D592" s="123"/>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75"/>
      <c r="B593" s="163"/>
      <c r="C593" s="123"/>
      <c r="D593" s="123"/>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75"/>
      <c r="B594" s="163"/>
      <c r="C594" s="123"/>
      <c r="D594" s="123"/>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75"/>
      <c r="B595" s="163"/>
      <c r="C595" s="123"/>
      <c r="D595" s="123"/>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75"/>
      <c r="B596" s="163"/>
      <c r="C596" s="123"/>
      <c r="D596" s="123"/>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75"/>
      <c r="B597" s="163"/>
      <c r="C597" s="123"/>
      <c r="D597" s="123"/>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75"/>
      <c r="B598" s="163"/>
      <c r="C598" s="123"/>
      <c r="D598" s="123"/>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75"/>
      <c r="B599" s="163"/>
      <c r="C599" s="123"/>
      <c r="D599" s="123"/>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75"/>
      <c r="B600" s="163"/>
      <c r="C600" s="123"/>
      <c r="D600" s="123"/>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75"/>
      <c r="B601" s="163"/>
      <c r="C601" s="123"/>
      <c r="D601" s="123"/>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75"/>
      <c r="B602" s="163"/>
      <c r="C602" s="123"/>
      <c r="D602" s="123"/>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75"/>
      <c r="B603" s="163"/>
      <c r="C603" s="123"/>
      <c r="D603" s="123"/>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75"/>
      <c r="B604" s="163"/>
      <c r="C604" s="123"/>
      <c r="D604" s="123"/>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75"/>
      <c r="B605" s="163"/>
      <c r="C605" s="123"/>
      <c r="D605" s="123"/>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75"/>
      <c r="B606" s="163"/>
      <c r="C606" s="123"/>
      <c r="D606" s="123"/>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75"/>
      <c r="B607" s="163"/>
      <c r="C607" s="123"/>
      <c r="D607" s="123"/>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75"/>
      <c r="B608" s="163"/>
      <c r="C608" s="123"/>
      <c r="D608" s="123"/>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75"/>
      <c r="B609" s="163"/>
      <c r="C609" s="123"/>
      <c r="D609" s="123"/>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75"/>
      <c r="B610" s="163"/>
      <c r="C610" s="123"/>
      <c r="D610" s="123"/>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75"/>
      <c r="B611" s="163"/>
      <c r="C611" s="123"/>
      <c r="D611" s="123"/>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75"/>
      <c r="B612" s="163"/>
      <c r="C612" s="123"/>
      <c r="D612" s="123"/>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75"/>
      <c r="B613" s="163"/>
      <c r="C613" s="123"/>
      <c r="D613" s="123"/>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75"/>
      <c r="B614" s="163"/>
      <c r="C614" s="123"/>
      <c r="D614" s="123"/>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75"/>
      <c r="B615" s="163"/>
      <c r="C615" s="123"/>
      <c r="D615" s="123"/>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75"/>
      <c r="B616" s="163"/>
      <c r="C616" s="123"/>
      <c r="D616" s="123"/>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75"/>
      <c r="B617" s="163"/>
      <c r="C617" s="123"/>
      <c r="D617" s="123"/>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75"/>
      <c r="B618" s="163"/>
      <c r="C618" s="123"/>
      <c r="D618" s="123"/>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75"/>
      <c r="B619" s="163"/>
      <c r="C619" s="123"/>
      <c r="D619" s="123"/>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75"/>
      <c r="B620" s="163"/>
      <c r="C620" s="123"/>
      <c r="D620" s="123"/>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75"/>
      <c r="B621" s="163"/>
      <c r="C621" s="123"/>
      <c r="D621" s="123"/>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75"/>
      <c r="B622" s="163"/>
      <c r="C622" s="123"/>
      <c r="D622" s="123"/>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75"/>
      <c r="B623" s="163"/>
      <c r="C623" s="123"/>
      <c r="D623" s="123"/>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75"/>
      <c r="B624" s="163"/>
      <c r="C624" s="123"/>
      <c r="D624" s="123"/>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75"/>
      <c r="B625" s="163"/>
      <c r="C625" s="123"/>
      <c r="D625" s="123"/>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75"/>
      <c r="B626" s="163"/>
      <c r="C626" s="123"/>
      <c r="D626" s="123"/>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75"/>
      <c r="B627" s="163"/>
      <c r="C627" s="123"/>
      <c r="D627" s="123"/>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75"/>
      <c r="B628" s="163"/>
      <c r="C628" s="123"/>
      <c r="D628" s="123"/>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75"/>
      <c r="B629" s="163"/>
      <c r="C629" s="123"/>
      <c r="D629" s="123"/>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75"/>
      <c r="B630" s="163"/>
      <c r="C630" s="123"/>
      <c r="D630" s="123"/>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75"/>
      <c r="B631" s="163"/>
      <c r="C631" s="123"/>
      <c r="D631" s="123"/>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75"/>
      <c r="B632" s="163"/>
      <c r="C632" s="123"/>
      <c r="D632" s="123"/>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75"/>
      <c r="B633" s="163"/>
      <c r="C633" s="123"/>
      <c r="D633" s="123"/>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75"/>
      <c r="B634" s="163"/>
      <c r="C634" s="123"/>
      <c r="D634" s="123"/>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75"/>
      <c r="B635" s="163"/>
      <c r="C635" s="123"/>
      <c r="D635" s="123"/>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75"/>
      <c r="B636" s="163"/>
      <c r="C636" s="123"/>
      <c r="D636" s="123"/>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75"/>
      <c r="B637" s="163"/>
      <c r="C637" s="123"/>
      <c r="D637" s="123"/>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75"/>
      <c r="B638" s="163"/>
      <c r="C638" s="123"/>
      <c r="D638" s="123"/>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75"/>
      <c r="B639" s="163"/>
      <c r="C639" s="123"/>
      <c r="D639" s="123"/>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75"/>
      <c r="B640" s="163"/>
      <c r="C640" s="123"/>
      <c r="D640" s="123"/>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75"/>
      <c r="B641" s="163"/>
      <c r="C641" s="123"/>
      <c r="D641" s="123"/>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75"/>
      <c r="B642" s="163"/>
      <c r="C642" s="123"/>
      <c r="D642" s="123"/>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75"/>
      <c r="B643" s="163"/>
      <c r="C643" s="123"/>
      <c r="D643" s="123"/>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75"/>
      <c r="B644" s="163"/>
      <c r="C644" s="123"/>
      <c r="D644" s="123"/>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75"/>
      <c r="B645" s="163"/>
      <c r="C645" s="123"/>
      <c r="D645" s="123"/>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75"/>
      <c r="B646" s="163"/>
      <c r="C646" s="123"/>
      <c r="D646" s="123"/>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75"/>
      <c r="B647" s="163"/>
      <c r="C647" s="123"/>
      <c r="D647" s="123"/>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75"/>
      <c r="B648" s="163"/>
      <c r="C648" s="123"/>
      <c r="D648" s="123"/>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75"/>
      <c r="B649" s="163"/>
      <c r="C649" s="123"/>
      <c r="D649" s="123"/>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75"/>
      <c r="B650" s="163"/>
      <c r="C650" s="123"/>
      <c r="D650" s="123"/>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75"/>
      <c r="B651" s="163"/>
      <c r="C651" s="123"/>
      <c r="D651" s="123"/>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75"/>
      <c r="B652" s="163"/>
      <c r="C652" s="123"/>
      <c r="D652" s="123"/>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75"/>
      <c r="B653" s="163"/>
      <c r="C653" s="123"/>
      <c r="D653" s="123"/>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75"/>
      <c r="B654" s="163"/>
      <c r="C654" s="123"/>
      <c r="D654" s="123"/>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75"/>
      <c r="B655" s="163"/>
      <c r="C655" s="123"/>
      <c r="D655" s="123"/>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75"/>
      <c r="B656" s="163"/>
      <c r="C656" s="123"/>
      <c r="D656" s="123"/>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75"/>
      <c r="B657" s="163"/>
      <c r="C657" s="123"/>
      <c r="D657" s="123"/>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75"/>
      <c r="B658" s="163"/>
      <c r="C658" s="123"/>
      <c r="D658" s="123"/>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75"/>
      <c r="B659" s="163"/>
      <c r="C659" s="123"/>
      <c r="D659" s="123"/>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75"/>
      <c r="B660" s="163"/>
      <c r="C660" s="123"/>
      <c r="D660" s="123"/>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75"/>
      <c r="B661" s="163"/>
      <c r="C661" s="123"/>
      <c r="D661" s="123"/>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75"/>
      <c r="B662" s="163"/>
      <c r="C662" s="123"/>
      <c r="D662" s="123"/>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75"/>
      <c r="B663" s="163"/>
      <c r="C663" s="123"/>
      <c r="D663" s="123"/>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75"/>
      <c r="B664" s="163"/>
      <c r="C664" s="123"/>
      <c r="D664" s="123"/>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75"/>
      <c r="B665" s="163"/>
      <c r="C665" s="123"/>
      <c r="D665" s="123"/>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75"/>
      <c r="B666" s="163"/>
      <c r="C666" s="123"/>
      <c r="D666" s="123"/>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75"/>
      <c r="B667" s="163"/>
      <c r="C667" s="123"/>
      <c r="D667" s="123"/>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75"/>
      <c r="B668" s="163"/>
      <c r="C668" s="123"/>
      <c r="D668" s="123"/>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75"/>
      <c r="B669" s="163"/>
      <c r="C669" s="123"/>
      <c r="D669" s="123"/>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75"/>
      <c r="B670" s="163"/>
      <c r="C670" s="123"/>
      <c r="D670" s="123"/>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75"/>
      <c r="B671" s="163"/>
      <c r="C671" s="123"/>
      <c r="D671" s="123"/>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75"/>
      <c r="B672" s="163"/>
      <c r="C672" s="123"/>
      <c r="D672" s="123"/>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75"/>
      <c r="B673" s="163"/>
      <c r="C673" s="123"/>
      <c r="D673" s="123"/>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75"/>
      <c r="B674" s="163"/>
      <c r="C674" s="123"/>
      <c r="D674" s="123"/>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75"/>
      <c r="B675" s="163"/>
      <c r="C675" s="123"/>
      <c r="D675" s="123"/>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75"/>
      <c r="B676" s="163"/>
      <c r="C676" s="123"/>
      <c r="D676" s="123"/>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75"/>
      <c r="B677" s="163"/>
      <c r="C677" s="123"/>
      <c r="D677" s="123"/>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75"/>
      <c r="B678" s="163"/>
      <c r="C678" s="123"/>
      <c r="D678" s="123"/>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75"/>
      <c r="B679" s="163"/>
      <c r="C679" s="123"/>
      <c r="D679" s="123"/>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75"/>
      <c r="B680" s="163"/>
      <c r="C680" s="123"/>
      <c r="D680" s="123"/>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75"/>
      <c r="B681" s="163"/>
      <c r="C681" s="123"/>
      <c r="D681" s="123"/>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75"/>
      <c r="B682" s="163"/>
      <c r="C682" s="123"/>
      <c r="D682" s="123"/>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75"/>
      <c r="B683" s="163"/>
      <c r="C683" s="123"/>
      <c r="D683" s="123"/>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75"/>
      <c r="B684" s="163"/>
      <c r="C684" s="123"/>
      <c r="D684" s="123"/>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75"/>
      <c r="B685" s="163"/>
      <c r="C685" s="123"/>
      <c r="D685" s="123"/>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75"/>
      <c r="B686" s="163"/>
      <c r="C686" s="123"/>
      <c r="D686" s="123"/>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75"/>
      <c r="B687" s="163"/>
      <c r="C687" s="123"/>
      <c r="D687" s="123"/>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75"/>
      <c r="B688" s="163"/>
      <c r="C688" s="123"/>
      <c r="D688" s="123"/>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75"/>
      <c r="B689" s="163"/>
      <c r="C689" s="123"/>
      <c r="D689" s="123"/>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75"/>
      <c r="B690" s="163"/>
      <c r="C690" s="123"/>
      <c r="D690" s="123"/>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75"/>
      <c r="B691" s="163"/>
      <c r="C691" s="123"/>
      <c r="D691" s="123"/>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75"/>
      <c r="B692" s="163"/>
      <c r="C692" s="123"/>
      <c r="D692" s="123"/>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75"/>
      <c r="B693" s="163"/>
      <c r="C693" s="123"/>
      <c r="D693" s="123"/>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75"/>
      <c r="B694" s="163"/>
      <c r="C694" s="123"/>
      <c r="D694" s="123"/>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75"/>
      <c r="B695" s="163"/>
      <c r="C695" s="123"/>
      <c r="D695" s="123"/>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75"/>
      <c r="B696" s="163"/>
      <c r="C696" s="123"/>
      <c r="D696" s="123"/>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75"/>
      <c r="B697" s="163"/>
      <c r="C697" s="123"/>
      <c r="D697" s="123"/>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75"/>
      <c r="B698" s="163"/>
      <c r="C698" s="123"/>
      <c r="D698" s="123"/>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75"/>
      <c r="B699" s="163"/>
      <c r="C699" s="123"/>
      <c r="D699" s="123"/>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75"/>
      <c r="B700" s="163"/>
      <c r="C700" s="123"/>
      <c r="D700" s="123"/>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75"/>
      <c r="B701" s="163"/>
      <c r="C701" s="123"/>
      <c r="D701" s="123"/>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75"/>
      <c r="B702" s="163"/>
      <c r="C702" s="123"/>
      <c r="D702" s="123"/>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75"/>
      <c r="B703" s="163"/>
      <c r="C703" s="123"/>
      <c r="D703" s="123"/>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75"/>
      <c r="B704" s="163"/>
      <c r="C704" s="123"/>
      <c r="D704" s="123"/>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75"/>
      <c r="B705" s="163"/>
      <c r="C705" s="123"/>
      <c r="D705" s="123"/>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75"/>
      <c r="B706" s="163"/>
      <c r="C706" s="123"/>
      <c r="D706" s="123"/>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75"/>
      <c r="B707" s="163"/>
      <c r="C707" s="123"/>
      <c r="D707" s="123"/>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75"/>
      <c r="B708" s="163"/>
      <c r="C708" s="123"/>
      <c r="D708" s="123"/>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75"/>
      <c r="B709" s="163"/>
      <c r="C709" s="123"/>
      <c r="D709" s="123"/>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75"/>
      <c r="B710" s="163"/>
      <c r="C710" s="123"/>
      <c r="D710" s="123"/>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75"/>
      <c r="B711" s="163"/>
      <c r="C711" s="123"/>
      <c r="D711" s="123"/>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75"/>
      <c r="B712" s="163"/>
      <c r="C712" s="123"/>
      <c r="D712" s="123"/>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75"/>
      <c r="B713" s="163"/>
      <c r="C713" s="123"/>
      <c r="D713" s="123"/>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75"/>
      <c r="B714" s="163"/>
      <c r="C714" s="123"/>
      <c r="D714" s="123"/>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75"/>
      <c r="B715" s="163"/>
      <c r="C715" s="123"/>
      <c r="D715" s="123"/>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75"/>
      <c r="B716" s="163"/>
      <c r="C716" s="123"/>
      <c r="D716" s="123"/>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75"/>
      <c r="B717" s="163"/>
      <c r="C717" s="123"/>
      <c r="D717" s="123"/>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75"/>
      <c r="B718" s="163"/>
      <c r="C718" s="123"/>
      <c r="D718" s="123"/>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75"/>
      <c r="B719" s="163"/>
      <c r="C719" s="123"/>
      <c r="D719" s="123"/>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75"/>
      <c r="B720" s="163"/>
      <c r="C720" s="123"/>
      <c r="D720" s="123"/>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75"/>
      <c r="B721" s="163"/>
      <c r="C721" s="123"/>
      <c r="D721" s="123"/>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75"/>
      <c r="B722" s="163"/>
      <c r="C722" s="123"/>
      <c r="D722" s="123"/>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75"/>
      <c r="B723" s="163"/>
      <c r="C723" s="123"/>
      <c r="D723" s="123"/>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75"/>
      <c r="B724" s="163"/>
      <c r="C724" s="123"/>
      <c r="D724" s="123"/>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75"/>
      <c r="B725" s="163"/>
      <c r="C725" s="123"/>
      <c r="D725" s="123"/>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75"/>
      <c r="B726" s="163"/>
      <c r="C726" s="123"/>
      <c r="D726" s="123"/>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75"/>
      <c r="B727" s="163"/>
      <c r="C727" s="123"/>
      <c r="D727" s="123"/>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75"/>
      <c r="B728" s="163"/>
      <c r="C728" s="123"/>
      <c r="D728" s="123"/>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75"/>
      <c r="B729" s="163"/>
      <c r="C729" s="123"/>
      <c r="D729" s="123"/>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75"/>
      <c r="B730" s="163"/>
      <c r="C730" s="123"/>
      <c r="D730" s="123"/>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75"/>
      <c r="B731" s="163"/>
      <c r="C731" s="123"/>
      <c r="D731" s="123"/>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75"/>
      <c r="B732" s="163"/>
      <c r="C732" s="123"/>
      <c r="D732" s="123"/>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75"/>
      <c r="B733" s="163"/>
      <c r="C733" s="123"/>
      <c r="D733" s="123"/>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75"/>
      <c r="B734" s="163"/>
      <c r="C734" s="123"/>
      <c r="D734" s="123"/>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75"/>
      <c r="B735" s="163"/>
      <c r="C735" s="123"/>
      <c r="D735" s="123"/>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75"/>
      <c r="B736" s="163"/>
      <c r="C736" s="123"/>
      <c r="D736" s="123"/>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75"/>
      <c r="B737" s="163"/>
      <c r="C737" s="123"/>
      <c r="D737" s="123"/>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75"/>
      <c r="B738" s="163"/>
      <c r="C738" s="123"/>
      <c r="D738" s="123"/>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75"/>
      <c r="B739" s="163"/>
      <c r="C739" s="123"/>
      <c r="D739" s="123"/>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75"/>
      <c r="B740" s="163"/>
      <c r="C740" s="123"/>
      <c r="D740" s="123"/>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75"/>
      <c r="B741" s="163"/>
      <c r="C741" s="123"/>
      <c r="D741" s="123"/>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75"/>
      <c r="B742" s="163"/>
      <c r="C742" s="123"/>
      <c r="D742" s="123"/>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75"/>
      <c r="B743" s="163"/>
      <c r="C743" s="123"/>
      <c r="D743" s="123"/>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75"/>
      <c r="B744" s="163"/>
      <c r="C744" s="123"/>
      <c r="D744" s="123"/>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75"/>
      <c r="B745" s="163"/>
      <c r="C745" s="123"/>
      <c r="D745" s="123"/>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75"/>
      <c r="B746" s="163"/>
      <c r="C746" s="123"/>
      <c r="D746" s="123"/>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75"/>
      <c r="B747" s="163"/>
      <c r="C747" s="123"/>
      <c r="D747" s="123"/>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75"/>
      <c r="B748" s="163"/>
      <c r="C748" s="123"/>
      <c r="D748" s="123"/>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75"/>
      <c r="B749" s="163"/>
      <c r="C749" s="123"/>
      <c r="D749" s="123"/>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75"/>
      <c r="B750" s="163"/>
      <c r="C750" s="123"/>
      <c r="D750" s="123"/>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75"/>
      <c r="B751" s="163"/>
      <c r="C751" s="123"/>
      <c r="D751" s="123"/>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75"/>
      <c r="B752" s="163"/>
      <c r="C752" s="123"/>
      <c r="D752" s="123"/>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75"/>
      <c r="B753" s="163"/>
      <c r="C753" s="123"/>
      <c r="D753" s="123"/>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75"/>
      <c r="B754" s="163"/>
      <c r="C754" s="123"/>
      <c r="D754" s="123"/>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75"/>
      <c r="B755" s="163"/>
      <c r="C755" s="123"/>
      <c r="D755" s="123"/>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75"/>
      <c r="B756" s="163"/>
      <c r="C756" s="123"/>
      <c r="D756" s="123"/>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75"/>
      <c r="B757" s="163"/>
      <c r="C757" s="123"/>
      <c r="D757" s="123"/>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75"/>
      <c r="B758" s="163"/>
      <c r="C758" s="123"/>
      <c r="D758" s="123"/>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75"/>
      <c r="B759" s="163"/>
      <c r="C759" s="123"/>
      <c r="D759" s="123"/>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75"/>
      <c r="B760" s="163"/>
      <c r="C760" s="123"/>
      <c r="D760" s="123"/>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75"/>
      <c r="B761" s="163"/>
      <c r="C761" s="123"/>
      <c r="D761" s="123"/>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75"/>
      <c r="B762" s="163"/>
      <c r="C762" s="123"/>
      <c r="D762" s="123"/>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75"/>
      <c r="B763" s="163"/>
      <c r="C763" s="123"/>
      <c r="D763" s="123"/>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75"/>
      <c r="B764" s="163"/>
      <c r="C764" s="123"/>
      <c r="D764" s="123"/>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75"/>
      <c r="B765" s="163"/>
      <c r="C765" s="123"/>
      <c r="D765" s="123"/>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75"/>
      <c r="B766" s="163"/>
      <c r="C766" s="123"/>
      <c r="D766" s="123"/>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75"/>
      <c r="B767" s="163"/>
      <c r="C767" s="123"/>
      <c r="D767" s="123"/>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75"/>
      <c r="B768" s="163"/>
      <c r="C768" s="123"/>
      <c r="D768" s="123"/>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75"/>
      <c r="B769" s="163"/>
      <c r="C769" s="123"/>
      <c r="D769" s="123"/>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75"/>
      <c r="B770" s="163"/>
      <c r="C770" s="123"/>
      <c r="D770" s="123"/>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75"/>
      <c r="B771" s="163"/>
      <c r="C771" s="123"/>
      <c r="D771" s="123"/>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75"/>
      <c r="B772" s="163"/>
      <c r="C772" s="123"/>
      <c r="D772" s="123"/>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75"/>
      <c r="B773" s="163"/>
      <c r="C773" s="123"/>
      <c r="D773" s="123"/>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75"/>
      <c r="B774" s="163"/>
      <c r="C774" s="123"/>
      <c r="D774" s="123"/>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75"/>
      <c r="B775" s="163"/>
      <c r="C775" s="123"/>
      <c r="D775" s="123"/>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75"/>
      <c r="B776" s="163"/>
      <c r="C776" s="123"/>
      <c r="D776" s="123"/>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75"/>
      <c r="B777" s="163"/>
      <c r="C777" s="123"/>
      <c r="D777" s="123"/>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75"/>
      <c r="B778" s="163"/>
      <c r="C778" s="123"/>
      <c r="D778" s="123"/>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75"/>
      <c r="B779" s="163"/>
      <c r="C779" s="123"/>
      <c r="D779" s="123"/>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75"/>
      <c r="B780" s="163"/>
      <c r="C780" s="123"/>
      <c r="D780" s="123"/>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75"/>
      <c r="B781" s="163"/>
      <c r="C781" s="123"/>
      <c r="D781" s="123"/>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75"/>
      <c r="B782" s="163"/>
      <c r="C782" s="123"/>
      <c r="D782" s="123"/>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75"/>
      <c r="B783" s="163"/>
      <c r="C783" s="123"/>
      <c r="D783" s="123"/>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75"/>
      <c r="B784" s="163"/>
      <c r="C784" s="123"/>
      <c r="D784" s="123"/>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75"/>
      <c r="B785" s="163"/>
      <c r="C785" s="123"/>
      <c r="D785" s="123"/>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75"/>
      <c r="B786" s="163"/>
      <c r="C786" s="123"/>
      <c r="D786" s="123"/>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75"/>
      <c r="B787" s="163"/>
      <c r="C787" s="123"/>
      <c r="D787" s="123"/>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75"/>
      <c r="B788" s="163"/>
      <c r="C788" s="123"/>
      <c r="D788" s="123"/>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75"/>
      <c r="B789" s="163"/>
      <c r="C789" s="123"/>
      <c r="D789" s="123"/>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75"/>
      <c r="B790" s="163"/>
      <c r="C790" s="123"/>
      <c r="D790" s="123"/>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75"/>
      <c r="B791" s="163"/>
      <c r="C791" s="123"/>
      <c r="D791" s="123"/>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75"/>
      <c r="B792" s="163"/>
      <c r="C792" s="123"/>
      <c r="D792" s="123"/>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75"/>
      <c r="B793" s="163"/>
      <c r="C793" s="123"/>
      <c r="D793" s="123"/>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75"/>
      <c r="B794" s="163"/>
      <c r="C794" s="123"/>
      <c r="D794" s="123"/>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75"/>
      <c r="B795" s="163"/>
      <c r="C795" s="123"/>
      <c r="D795" s="123"/>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75"/>
      <c r="B796" s="163"/>
      <c r="C796" s="123"/>
      <c r="D796" s="123"/>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75"/>
      <c r="B797" s="163"/>
      <c r="C797" s="123"/>
      <c r="D797" s="123"/>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75"/>
      <c r="B798" s="163"/>
      <c r="C798" s="123"/>
      <c r="D798" s="123"/>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75"/>
      <c r="B799" s="163"/>
      <c r="C799" s="123"/>
      <c r="D799" s="123"/>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75"/>
      <c r="B800" s="163"/>
      <c r="C800" s="123"/>
      <c r="D800" s="123"/>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75"/>
      <c r="B801" s="163"/>
      <c r="C801" s="123"/>
      <c r="D801" s="123"/>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75"/>
      <c r="B802" s="163"/>
      <c r="C802" s="123"/>
      <c r="D802" s="123"/>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75"/>
      <c r="B803" s="163"/>
      <c r="C803" s="123"/>
      <c r="D803" s="123"/>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75"/>
      <c r="B804" s="163"/>
      <c r="C804" s="123"/>
      <c r="D804" s="123"/>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75"/>
      <c r="B805" s="163"/>
      <c r="C805" s="123"/>
      <c r="D805" s="123"/>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75"/>
      <c r="B806" s="163"/>
      <c r="C806" s="123"/>
      <c r="D806" s="123"/>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75"/>
      <c r="B807" s="163"/>
      <c r="C807" s="123"/>
      <c r="D807" s="123"/>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75"/>
      <c r="B808" s="163"/>
      <c r="C808" s="123"/>
      <c r="D808" s="123"/>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75"/>
      <c r="B809" s="163"/>
      <c r="C809" s="123"/>
      <c r="D809" s="123"/>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75"/>
      <c r="B810" s="163"/>
      <c r="C810" s="123"/>
      <c r="D810" s="123"/>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75"/>
      <c r="B811" s="163"/>
      <c r="C811" s="123"/>
      <c r="D811" s="123"/>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75"/>
      <c r="B812" s="163"/>
      <c r="C812" s="123"/>
      <c r="D812" s="123"/>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75"/>
      <c r="B813" s="163"/>
      <c r="C813" s="123"/>
      <c r="D813" s="123"/>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75"/>
      <c r="B814" s="163"/>
      <c r="C814" s="123"/>
      <c r="D814" s="123"/>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75"/>
      <c r="B815" s="163"/>
      <c r="C815" s="123"/>
      <c r="D815" s="123"/>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75"/>
      <c r="B816" s="163"/>
      <c r="C816" s="123"/>
      <c r="D816" s="123"/>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75"/>
      <c r="B817" s="163"/>
      <c r="C817" s="123"/>
      <c r="D817" s="123"/>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75"/>
      <c r="B818" s="163"/>
      <c r="C818" s="123"/>
      <c r="D818" s="123"/>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75"/>
      <c r="B819" s="163"/>
      <c r="C819" s="123"/>
      <c r="D819" s="123"/>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75"/>
      <c r="B820" s="163"/>
      <c r="C820" s="123"/>
      <c r="D820" s="123"/>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75"/>
      <c r="B821" s="163"/>
      <c r="C821" s="123"/>
      <c r="D821" s="123"/>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75"/>
      <c r="B822" s="163"/>
      <c r="C822" s="123"/>
      <c r="D822" s="123"/>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75"/>
      <c r="B823" s="163"/>
      <c r="C823" s="123"/>
      <c r="D823" s="123"/>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75"/>
      <c r="B824" s="163"/>
      <c r="C824" s="123"/>
      <c r="D824" s="123"/>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75"/>
      <c r="B825" s="163"/>
      <c r="C825" s="123"/>
      <c r="D825" s="123"/>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75"/>
      <c r="B826" s="163"/>
      <c r="C826" s="123"/>
      <c r="D826" s="123"/>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75"/>
      <c r="B827" s="163"/>
      <c r="C827" s="123"/>
      <c r="D827" s="123"/>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75"/>
      <c r="B828" s="163"/>
      <c r="C828" s="123"/>
      <c r="D828" s="123"/>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75"/>
      <c r="B829" s="163"/>
      <c r="C829" s="123"/>
      <c r="D829" s="123"/>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75"/>
      <c r="B830" s="163"/>
      <c r="C830" s="123"/>
      <c r="D830" s="123"/>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75"/>
      <c r="B831" s="163"/>
      <c r="C831" s="123"/>
      <c r="D831" s="123"/>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75"/>
      <c r="B832" s="163"/>
      <c r="C832" s="123"/>
      <c r="D832" s="123"/>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75"/>
      <c r="B833" s="163"/>
      <c r="C833" s="123"/>
      <c r="D833" s="123"/>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75"/>
      <c r="B834" s="163"/>
      <c r="C834" s="123"/>
      <c r="D834" s="123"/>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75"/>
      <c r="B835" s="163"/>
      <c r="C835" s="123"/>
      <c r="D835" s="123"/>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75"/>
      <c r="B836" s="163"/>
      <c r="C836" s="123"/>
      <c r="D836" s="123"/>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75"/>
      <c r="B837" s="163"/>
      <c r="C837" s="123"/>
      <c r="D837" s="123"/>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75"/>
      <c r="B838" s="163"/>
      <c r="C838" s="123"/>
      <c r="D838" s="123"/>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75"/>
      <c r="B839" s="163"/>
      <c r="C839" s="123"/>
      <c r="D839" s="123"/>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75"/>
      <c r="B840" s="163"/>
      <c r="C840" s="123"/>
      <c r="D840" s="123"/>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75"/>
      <c r="B841" s="163"/>
      <c r="C841" s="123"/>
      <c r="D841" s="123"/>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75"/>
      <c r="B842" s="163"/>
      <c r="C842" s="123"/>
      <c r="D842" s="123"/>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75"/>
      <c r="B843" s="163"/>
      <c r="C843" s="123"/>
      <c r="D843" s="123"/>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75"/>
      <c r="B844" s="163"/>
      <c r="C844" s="123"/>
      <c r="D844" s="123"/>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75"/>
      <c r="B845" s="163"/>
      <c r="C845" s="123"/>
      <c r="D845" s="123"/>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75"/>
      <c r="B846" s="163"/>
      <c r="C846" s="123"/>
      <c r="D846" s="123"/>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75"/>
      <c r="B847" s="163"/>
      <c r="C847" s="123"/>
      <c r="D847" s="123"/>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75"/>
      <c r="B848" s="163"/>
      <c r="C848" s="123"/>
      <c r="D848" s="123"/>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75"/>
      <c r="B849" s="163"/>
      <c r="C849" s="123"/>
      <c r="D849" s="123"/>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75"/>
      <c r="B850" s="163"/>
      <c r="C850" s="123"/>
      <c r="D850" s="123"/>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75"/>
      <c r="B851" s="163"/>
      <c r="C851" s="123"/>
      <c r="D851" s="123"/>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75"/>
      <c r="B852" s="163"/>
      <c r="C852" s="123"/>
      <c r="D852" s="123"/>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75"/>
      <c r="B853" s="163"/>
      <c r="C853" s="123"/>
      <c r="D853" s="123"/>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75"/>
      <c r="B854" s="163"/>
      <c r="C854" s="123"/>
      <c r="D854" s="123"/>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75"/>
      <c r="B855" s="163"/>
      <c r="C855" s="123"/>
      <c r="D855" s="123"/>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75"/>
      <c r="B856" s="163"/>
      <c r="C856" s="123"/>
      <c r="D856" s="123"/>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75"/>
      <c r="B857" s="163"/>
      <c r="C857" s="123"/>
      <c r="D857" s="123"/>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75"/>
      <c r="B858" s="163"/>
      <c r="C858" s="123"/>
      <c r="D858" s="123"/>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75"/>
      <c r="B859" s="163"/>
      <c r="C859" s="123"/>
      <c r="D859" s="123"/>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75"/>
      <c r="B860" s="163"/>
      <c r="C860" s="123"/>
      <c r="D860" s="123"/>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75"/>
      <c r="B861" s="163"/>
      <c r="C861" s="123"/>
      <c r="D861" s="123"/>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75"/>
      <c r="B862" s="163"/>
      <c r="C862" s="123"/>
      <c r="D862" s="123"/>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75"/>
      <c r="B863" s="163"/>
      <c r="C863" s="123"/>
      <c r="D863" s="123"/>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75"/>
      <c r="B864" s="163"/>
      <c r="C864" s="123"/>
      <c r="D864" s="123"/>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75"/>
      <c r="B865" s="163"/>
      <c r="C865" s="123"/>
      <c r="D865" s="123"/>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75"/>
      <c r="B866" s="163"/>
      <c r="C866" s="123"/>
      <c r="D866" s="123"/>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75"/>
      <c r="B867" s="163"/>
      <c r="C867" s="123"/>
      <c r="D867" s="123"/>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75"/>
      <c r="B868" s="163"/>
      <c r="C868" s="123"/>
      <c r="D868" s="123"/>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75"/>
      <c r="B869" s="163"/>
      <c r="C869" s="123"/>
      <c r="D869" s="123"/>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75"/>
      <c r="B870" s="163"/>
      <c r="C870" s="123"/>
      <c r="D870" s="123"/>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75"/>
      <c r="B871" s="163"/>
      <c r="C871" s="123"/>
      <c r="D871" s="123"/>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75"/>
      <c r="B872" s="163"/>
      <c r="C872" s="123"/>
      <c r="D872" s="123"/>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75"/>
      <c r="B873" s="163"/>
      <c r="C873" s="123"/>
      <c r="D873" s="123"/>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75"/>
      <c r="B874" s="163"/>
      <c r="C874" s="123"/>
      <c r="D874" s="123"/>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75"/>
      <c r="B875" s="163"/>
      <c r="C875" s="123"/>
      <c r="D875" s="123"/>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75"/>
      <c r="B876" s="163"/>
      <c r="C876" s="123"/>
      <c r="D876" s="123"/>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75"/>
      <c r="B877" s="163"/>
      <c r="C877" s="123"/>
      <c r="D877" s="123"/>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75"/>
      <c r="B878" s="163"/>
      <c r="C878" s="123"/>
      <c r="D878" s="123"/>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75"/>
      <c r="B879" s="163"/>
      <c r="C879" s="123"/>
      <c r="D879" s="123"/>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75"/>
      <c r="B880" s="163"/>
      <c r="C880" s="123"/>
      <c r="D880" s="123"/>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75"/>
      <c r="B881" s="163"/>
      <c r="C881" s="123"/>
      <c r="D881" s="123"/>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75"/>
      <c r="B882" s="163"/>
      <c r="C882" s="123"/>
      <c r="D882" s="123"/>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75"/>
      <c r="B883" s="163"/>
      <c r="C883" s="123"/>
      <c r="D883" s="123"/>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75"/>
      <c r="B884" s="163"/>
      <c r="C884" s="123"/>
      <c r="D884" s="123"/>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75"/>
      <c r="B885" s="163"/>
      <c r="C885" s="123"/>
      <c r="D885" s="123"/>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75"/>
      <c r="B886" s="163"/>
      <c r="C886" s="123"/>
      <c r="D886" s="123"/>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75"/>
      <c r="B887" s="163"/>
      <c r="C887" s="123"/>
      <c r="D887" s="123"/>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75"/>
      <c r="B888" s="163"/>
      <c r="C888" s="123"/>
      <c r="D888" s="123"/>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75"/>
      <c r="B889" s="163"/>
      <c r="C889" s="123"/>
      <c r="D889" s="123"/>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75"/>
      <c r="B890" s="163"/>
      <c r="C890" s="123"/>
      <c r="D890" s="123"/>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75"/>
      <c r="B891" s="163"/>
      <c r="C891" s="123"/>
      <c r="D891" s="123"/>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75"/>
      <c r="B892" s="163"/>
      <c r="C892" s="123"/>
      <c r="D892" s="123"/>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75"/>
      <c r="B893" s="163"/>
      <c r="C893" s="123"/>
      <c r="D893" s="123"/>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75"/>
      <c r="B894" s="163"/>
      <c r="C894" s="123"/>
      <c r="D894" s="123"/>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75"/>
      <c r="B895" s="163"/>
      <c r="C895" s="123"/>
      <c r="D895" s="123"/>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75"/>
      <c r="B896" s="163"/>
      <c r="C896" s="123"/>
      <c r="D896" s="123"/>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75"/>
      <c r="B897" s="163"/>
      <c r="C897" s="123"/>
      <c r="D897" s="123"/>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75"/>
      <c r="B898" s="163"/>
      <c r="C898" s="123"/>
      <c r="D898" s="123"/>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75"/>
      <c r="B899" s="163"/>
      <c r="C899" s="123"/>
      <c r="D899" s="123"/>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75"/>
      <c r="B900" s="163"/>
      <c r="C900" s="123"/>
      <c r="D900" s="123"/>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75"/>
      <c r="B901" s="163"/>
      <c r="C901" s="123"/>
      <c r="D901" s="123"/>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75"/>
      <c r="B902" s="163"/>
      <c r="C902" s="123"/>
      <c r="D902" s="123"/>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75"/>
      <c r="B903" s="163"/>
      <c r="C903" s="123"/>
      <c r="D903" s="123"/>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75"/>
      <c r="B904" s="163"/>
      <c r="C904" s="123"/>
      <c r="D904" s="123"/>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75"/>
      <c r="B905" s="163"/>
      <c r="C905" s="123"/>
      <c r="D905" s="123"/>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75"/>
      <c r="B906" s="163"/>
      <c r="C906" s="123"/>
      <c r="D906" s="123"/>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75"/>
      <c r="B907" s="163"/>
      <c r="C907" s="123"/>
      <c r="D907" s="123"/>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75"/>
      <c r="B908" s="163"/>
      <c r="C908" s="123"/>
      <c r="D908" s="123"/>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75"/>
      <c r="B909" s="163"/>
      <c r="C909" s="123"/>
      <c r="D909" s="123"/>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75"/>
      <c r="B910" s="163"/>
      <c r="C910" s="123"/>
      <c r="D910" s="123"/>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75"/>
      <c r="B911" s="163"/>
      <c r="C911" s="123"/>
      <c r="D911" s="123"/>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75"/>
      <c r="B912" s="163"/>
      <c r="C912" s="123"/>
      <c r="D912" s="123"/>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75"/>
      <c r="B913" s="163"/>
      <c r="C913" s="123"/>
      <c r="D913" s="123"/>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75"/>
      <c r="B914" s="163"/>
      <c r="C914" s="123"/>
      <c r="D914" s="123"/>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75"/>
      <c r="B915" s="163"/>
      <c r="C915" s="123"/>
      <c r="D915" s="123"/>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75"/>
      <c r="B916" s="163"/>
      <c r="C916" s="123"/>
      <c r="D916" s="123"/>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75"/>
      <c r="B917" s="163"/>
      <c r="C917" s="123"/>
      <c r="D917" s="123"/>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75"/>
      <c r="B918" s="163"/>
      <c r="C918" s="123"/>
      <c r="D918" s="123"/>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75"/>
      <c r="B919" s="163"/>
      <c r="C919" s="123"/>
      <c r="D919" s="123"/>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75"/>
      <c r="B920" s="163"/>
      <c r="C920" s="123"/>
      <c r="D920" s="123"/>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75"/>
      <c r="B921" s="163"/>
      <c r="C921" s="123"/>
      <c r="D921" s="123"/>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75"/>
      <c r="B922" s="163"/>
      <c r="C922" s="123"/>
      <c r="D922" s="123"/>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75"/>
      <c r="B923" s="163"/>
      <c r="C923" s="123"/>
      <c r="D923" s="123"/>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75"/>
      <c r="B924" s="163"/>
      <c r="C924" s="123"/>
      <c r="D924" s="123"/>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75"/>
      <c r="B925" s="163"/>
      <c r="C925" s="123"/>
      <c r="D925" s="123"/>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75"/>
      <c r="B926" s="163"/>
      <c r="C926" s="123"/>
      <c r="D926" s="123"/>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75"/>
      <c r="B927" s="163"/>
      <c r="C927" s="123"/>
      <c r="D927" s="123"/>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75"/>
      <c r="B928" s="163"/>
      <c r="C928" s="123"/>
      <c r="D928" s="123"/>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75"/>
      <c r="B929" s="163"/>
      <c r="C929" s="123"/>
      <c r="D929" s="123"/>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75"/>
      <c r="B930" s="163"/>
      <c r="C930" s="123"/>
      <c r="D930" s="123"/>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75"/>
      <c r="B931" s="163"/>
      <c r="C931" s="123"/>
      <c r="D931" s="123"/>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75"/>
      <c r="B932" s="163"/>
      <c r="C932" s="123"/>
      <c r="D932" s="123"/>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75"/>
      <c r="B933" s="163"/>
      <c r="C933" s="123"/>
      <c r="D933" s="123"/>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75"/>
      <c r="B934" s="163"/>
      <c r="C934" s="123"/>
      <c r="D934" s="123"/>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75"/>
      <c r="B935" s="163"/>
      <c r="C935" s="123"/>
      <c r="D935" s="123"/>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75"/>
      <c r="B936" s="163"/>
      <c r="C936" s="123"/>
      <c r="D936" s="123"/>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75"/>
      <c r="B937" s="163"/>
      <c r="C937" s="123"/>
      <c r="D937" s="123"/>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75"/>
      <c r="B938" s="163"/>
      <c r="C938" s="123"/>
      <c r="D938" s="123"/>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75"/>
      <c r="B939" s="163"/>
      <c r="C939" s="123"/>
      <c r="D939" s="123"/>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75"/>
      <c r="B940" s="163"/>
      <c r="C940" s="123"/>
      <c r="D940" s="123"/>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75"/>
      <c r="B941" s="163"/>
      <c r="C941" s="123"/>
      <c r="D941" s="123"/>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75"/>
      <c r="B942" s="163"/>
      <c r="C942" s="123"/>
      <c r="D942" s="123"/>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75"/>
      <c r="B943" s="163"/>
      <c r="C943" s="123"/>
      <c r="D943" s="123"/>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75"/>
      <c r="B944" s="163"/>
      <c r="C944" s="123"/>
      <c r="D944" s="123"/>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75"/>
      <c r="B945" s="163"/>
      <c r="C945" s="123"/>
      <c r="D945" s="123"/>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75"/>
      <c r="B946" s="163"/>
      <c r="C946" s="123"/>
      <c r="D946" s="123"/>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75"/>
      <c r="B947" s="163"/>
      <c r="C947" s="123"/>
      <c r="D947" s="123"/>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75"/>
      <c r="B948" s="163"/>
      <c r="C948" s="123"/>
      <c r="D948" s="123"/>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75"/>
      <c r="B949" s="163"/>
      <c r="C949" s="123"/>
      <c r="D949" s="123"/>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75"/>
      <c r="B950" s="163"/>
      <c r="C950" s="123"/>
      <c r="D950" s="123"/>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75"/>
      <c r="B951" s="163"/>
      <c r="C951" s="123"/>
      <c r="D951" s="123"/>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75"/>
      <c r="B952" s="163"/>
      <c r="C952" s="123"/>
      <c r="D952" s="123"/>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75"/>
      <c r="B953" s="163"/>
      <c r="C953" s="123"/>
      <c r="D953" s="123"/>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75"/>
      <c r="B954" s="163"/>
      <c r="C954" s="123"/>
      <c r="D954" s="123"/>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75"/>
      <c r="B955" s="163"/>
      <c r="C955" s="123"/>
      <c r="D955" s="123"/>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75"/>
      <c r="B956" s="163"/>
      <c r="C956" s="123"/>
      <c r="D956" s="123"/>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75"/>
      <c r="B957" s="163"/>
      <c r="C957" s="123"/>
      <c r="D957" s="123"/>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75"/>
      <c r="B958" s="163"/>
      <c r="C958" s="123"/>
      <c r="D958" s="123"/>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75"/>
      <c r="B959" s="163"/>
      <c r="C959" s="123"/>
      <c r="D959" s="123"/>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75"/>
      <c r="B960" s="163"/>
      <c r="C960" s="123"/>
      <c r="D960" s="123"/>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75"/>
      <c r="B961" s="163"/>
      <c r="C961" s="123"/>
      <c r="D961" s="123"/>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75"/>
      <c r="B962" s="163"/>
      <c r="C962" s="123"/>
      <c r="D962" s="123"/>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75"/>
      <c r="B963" s="163"/>
      <c r="C963" s="123"/>
      <c r="D963" s="123"/>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75"/>
      <c r="B964" s="163"/>
      <c r="C964" s="123"/>
      <c r="D964" s="123"/>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75"/>
      <c r="B965" s="163"/>
      <c r="C965" s="123"/>
      <c r="D965" s="123"/>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75"/>
      <c r="B966" s="163"/>
      <c r="C966" s="123"/>
      <c r="D966" s="123"/>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75"/>
      <c r="B967" s="163"/>
      <c r="C967" s="123"/>
      <c r="D967" s="123"/>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75"/>
      <c r="B968" s="163"/>
      <c r="C968" s="123"/>
      <c r="D968" s="123"/>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75"/>
      <c r="B969" s="163"/>
      <c r="C969" s="123"/>
      <c r="D969" s="123"/>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75"/>
      <c r="B970" s="163"/>
      <c r="C970" s="123"/>
      <c r="D970" s="123"/>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75"/>
      <c r="B971" s="163"/>
      <c r="C971" s="123"/>
      <c r="D971" s="123"/>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75"/>
      <c r="B972" s="163"/>
      <c r="C972" s="123"/>
      <c r="D972" s="123"/>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75"/>
      <c r="B973" s="163"/>
      <c r="C973" s="123"/>
      <c r="D973" s="123"/>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75"/>
      <c r="B974" s="163"/>
      <c r="C974" s="123"/>
      <c r="D974" s="123"/>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75"/>
      <c r="B975" s="163"/>
      <c r="C975" s="123"/>
      <c r="D975" s="123"/>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75"/>
      <c r="B976" s="163"/>
      <c r="C976" s="123"/>
      <c r="D976" s="123"/>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75"/>
      <c r="B977" s="163"/>
      <c r="C977" s="123"/>
      <c r="D977" s="123"/>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75"/>
      <c r="B978" s="163"/>
      <c r="C978" s="123"/>
      <c r="D978" s="123"/>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75"/>
      <c r="B979" s="163"/>
      <c r="C979" s="123"/>
      <c r="D979" s="123"/>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75"/>
      <c r="B980" s="163"/>
      <c r="C980" s="123"/>
      <c r="D980" s="123"/>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75"/>
      <c r="B981" s="163"/>
      <c r="C981" s="123"/>
      <c r="D981" s="123"/>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75"/>
      <c r="B982" s="163"/>
      <c r="C982" s="123"/>
      <c r="D982" s="123"/>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75"/>
      <c r="B983" s="163"/>
      <c r="C983" s="123"/>
      <c r="D983" s="123"/>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75"/>
      <c r="B984" s="163"/>
      <c r="C984" s="123"/>
      <c r="D984" s="123"/>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75"/>
      <c r="B985" s="163"/>
      <c r="C985" s="123"/>
      <c r="D985" s="123"/>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75"/>
      <c r="B986" s="163"/>
      <c r="C986" s="123"/>
      <c r="D986" s="123"/>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75"/>
      <c r="B987" s="163"/>
      <c r="C987" s="123"/>
      <c r="D987" s="123"/>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75"/>
      <c r="B988" s="163"/>
      <c r="C988" s="123"/>
      <c r="D988" s="123"/>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75"/>
      <c r="B989" s="163"/>
      <c r="C989" s="123"/>
      <c r="D989" s="123"/>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75"/>
      <c r="B990" s="163"/>
      <c r="C990" s="123"/>
      <c r="D990" s="123"/>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75"/>
      <c r="B991" s="163"/>
      <c r="C991" s="123"/>
      <c r="D991" s="123"/>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75"/>
      <c r="B992" s="163"/>
      <c r="C992" s="123"/>
      <c r="D992" s="123"/>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75"/>
      <c r="B993" s="163"/>
      <c r="C993" s="123"/>
      <c r="D993" s="123"/>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75"/>
      <c r="B994" s="163"/>
      <c r="C994" s="123"/>
      <c r="D994" s="123"/>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75"/>
      <c r="B995" s="163"/>
      <c r="C995" s="123"/>
      <c r="D995" s="123"/>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75"/>
      <c r="B996" s="163"/>
      <c r="C996" s="123"/>
      <c r="D996" s="123"/>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75"/>
      <c r="B997" s="163"/>
      <c r="C997" s="123"/>
      <c r="D997" s="123"/>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75"/>
      <c r="B998" s="163"/>
      <c r="C998" s="123"/>
      <c r="D998" s="123"/>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75"/>
      <c r="B999" s="163"/>
      <c r="C999" s="123"/>
      <c r="D999" s="123"/>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75"/>
      <c r="B1000" s="163"/>
      <c r="C1000" s="123"/>
      <c r="D1000" s="123"/>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76"/>
      <c r="B1001" s="399" t="str">
        <f ca="1">OFFSET(L!$C$1,MATCH("General"&amp;"Cpy",L!$A:$A,0)-1,SL,,)</f>
        <v>© 2016 Conflict-Free Sourcing Initiative. All rights reserved.</v>
      </c>
      <c r="C1001" s="399"/>
      <c r="D1001" s="399"/>
      <c r="E1001" s="31"/>
    </row>
    <row r="1002" spans="1:35" ht="13.5" thickTop="1">
      <c r="D1002" s="130"/>
    </row>
  </sheetData>
  <sheetProtection password="E985" sheet="1" formatColumns="0" formatRows="0" insertRows="0" deleteRows="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544"/>
  <sheetViews>
    <sheetView zoomScale="160" zoomScaleNormal="160" workbookViewId="0">
      <pane ySplit="4" topLeftCell="A499" activePane="bottomLeft" state="frozen"/>
      <selection pane="bottomLeft" activeCell="C547" sqref="C547"/>
    </sheetView>
  </sheetViews>
  <sheetFormatPr defaultColWidth="8.75" defaultRowHeight="10.5"/>
  <cols>
    <col min="1" max="1" width="9.25" style="45" bestFit="1" customWidth="1"/>
    <col min="2" max="2" width="42.875" style="45" customWidth="1"/>
    <col min="3" max="3" width="40.25" style="45" customWidth="1"/>
    <col min="4" max="4" width="22.75" style="45" customWidth="1"/>
    <col min="5" max="5" width="12.625" style="45" customWidth="1"/>
    <col min="6" max="6" width="12.625" style="201" customWidth="1"/>
    <col min="7" max="7" width="15.375" style="45" customWidth="1"/>
    <col min="8" max="8" width="23.875" style="45" customWidth="1"/>
    <col min="9" max="9" width="20.875" style="45" customWidth="1"/>
    <col min="10" max="10" width="38.625" style="45" hidden="1" customWidth="1"/>
    <col min="11" max="11" width="24.25" style="45" hidden="1" customWidth="1"/>
    <col min="12" max="12" width="17.5" style="45" customWidth="1"/>
    <col min="13" max="13" width="16.25" style="45" customWidth="1"/>
    <col min="14" max="16384" width="8.75" style="45"/>
  </cols>
  <sheetData>
    <row r="1" spans="1:13" ht="3" customHeight="1">
      <c r="A1" s="400" t="str">
        <f ca="1">OFFSET(L!$C$1,MATCH("Smelter Reference List"&amp;ADDRESS(ROW(),COLUMN(),4),L!$A:$A,0)-1,SL,,)</f>
        <v xml:space="preserve">The following list represents the CFSI's latest smelter name/alias information as of this templates release.  This list is updated frequently, and the most up-to-date version can be found on the CFSI website http://www.conflictfreesourcing.org/conflict-free-smelter-program/exports/cmrt-export/.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Names included in column B represent company names that are commonly recognized and reported by the supply chain for a particular smelter. These names may include former company names, alternate names, abbreviations, or other variations. Although the names may not be the CFSI Standard Smelter Name, the reference names are helpful to identify the smelter, which is listed under column C in the Smelter Reference List.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00"/>
      <c r="C1" s="400"/>
      <c r="D1" s="400"/>
      <c r="E1" s="400"/>
      <c r="F1" s="400"/>
      <c r="G1" s="400"/>
    </row>
    <row r="2" spans="1:13" hidden="1">
      <c r="A2" s="401"/>
      <c r="B2" s="401"/>
      <c r="C2" s="401"/>
      <c r="D2" s="401"/>
      <c r="E2" s="401"/>
      <c r="F2" s="401"/>
      <c r="G2" s="401"/>
      <c r="H2" s="401"/>
      <c r="I2" s="401"/>
    </row>
    <row r="3" spans="1:13" hidden="1">
      <c r="A3" s="401"/>
      <c r="B3" s="401"/>
      <c r="C3" s="401"/>
      <c r="D3" s="401"/>
      <c r="E3" s="401"/>
      <c r="F3" s="401"/>
      <c r="G3" s="401"/>
      <c r="H3" s="401"/>
      <c r="I3" s="401"/>
    </row>
    <row r="4" spans="1:13" s="239" customFormat="1" ht="42">
      <c r="A4" s="207" t="str">
        <f ca="1">OFFSET(L!$C$1,MATCH("Smelter Reference List"&amp;ADDRESS(ROW(),COLUMN(),4),L!$A:$A,0)-1,SL,,)</f>
        <v>Metal</v>
      </c>
      <c r="B4" s="207" t="str">
        <f ca="1">OFFSET(L!$C$1,MATCH("Smelter Reference List"&amp;ADDRESS(ROW(),COLUMN(),4),L!$A:$A,0)-1,SL,,)</f>
        <v>Smelter Reference List</v>
      </c>
      <c r="C4" s="207" t="str">
        <f ca="1">OFFSET(L!$C$1,MATCH("Smelter Reference List"&amp;ADDRESS(ROW(),COLUMN(),4),L!$A:$A,0)-1,SL,,)</f>
        <v>Standard Smelter Names</v>
      </c>
      <c r="D4" s="207" t="str">
        <f ca="1">OFFSET(L!$C$1,MATCH("Smelter Reference List"&amp;ADDRESS(ROW(),COLUMN(),4),L!$A:$A,0)-1,SL,,)</f>
        <v>Smelter Facility Location: Country</v>
      </c>
      <c r="E4" s="207" t="str">
        <f ca="1">OFFSET(L!$C$1,MATCH("Smelter Reference List"&amp;ADDRESS(ROW(),COLUMN(),4),L!$A:$A,0)-1,SL,,)</f>
        <v>New Smelter ID</v>
      </c>
      <c r="F4" s="207" t="str">
        <f ca="1">OFFSET(L!$C$1,MATCH("Smelter Reference List"&amp;ADDRESS(ROW(),COLUMN(),4),L!$A:$A,0)-1,SL,,)</f>
        <v>Source of Smelter Identification Number</v>
      </c>
      <c r="G4" s="207" t="str">
        <f ca="1">OFFSET(L!$C$1,MATCH("Smelter Reference List"&amp;ADDRESS(ROW(),COLUMN(),4),L!$A:$A,0)-1,SL,,)</f>
        <v xml:space="preserve">Smelter Street </v>
      </c>
      <c r="H4" s="207" t="str">
        <f ca="1">OFFSET(L!$C$1,MATCH("Smelter Reference List"&amp;ADDRESS(ROW(),COLUMN(),4),L!$A:$A,0)-1,SL,,)</f>
        <v>Smelter City</v>
      </c>
      <c r="I4" s="207" t="str">
        <f ca="1">OFFSET(L!$C$1,MATCH("Smelter Reference List"&amp;ADDRESS(ROW(),COLUMN(),4),L!$A:$A,0)-1,SL,,)</f>
        <v>Smelter Facility Location: State / Province</v>
      </c>
      <c r="J4" s="207" t="s">
        <v>1430</v>
      </c>
      <c r="K4" s="207" t="s">
        <v>1430</v>
      </c>
      <c r="L4" s="240"/>
      <c r="M4" s="240"/>
    </row>
    <row r="5" spans="1:13" ht="10.5" customHeight="1">
      <c r="A5" s="297" t="s">
        <v>2290</v>
      </c>
      <c r="B5" s="297" t="s">
        <v>4892</v>
      </c>
      <c r="C5" s="297" t="s">
        <v>4892</v>
      </c>
      <c r="D5" s="297" t="s">
        <v>4880</v>
      </c>
      <c r="E5" s="297" t="s">
        <v>4893</v>
      </c>
      <c r="F5" s="297" t="s">
        <v>3060</v>
      </c>
      <c r="G5" s="297"/>
      <c r="H5" s="297" t="s">
        <v>4894</v>
      </c>
      <c r="I5" s="297" t="s">
        <v>4895</v>
      </c>
      <c r="J5" s="45" t="str">
        <f t="shared" ref="J5:J67" si="0">A5&amp;B5</f>
        <v>GoldAbington Reldan Metals, LLC</v>
      </c>
      <c r="K5" s="45" t="str">
        <f t="shared" ref="K5:K67" si="1">A5&amp;B5</f>
        <v>GoldAbington Reldan Metals, LLC</v>
      </c>
      <c r="L5" s="243"/>
    </row>
    <row r="6" spans="1:13" ht="10.5" customHeight="1">
      <c r="A6" s="297" t="s">
        <v>2290</v>
      </c>
      <c r="B6" s="297" t="s">
        <v>31</v>
      </c>
      <c r="C6" s="297" t="s">
        <v>1294</v>
      </c>
      <c r="D6" s="297" t="s">
        <v>4880</v>
      </c>
      <c r="E6" s="297" t="s">
        <v>1295</v>
      </c>
      <c r="F6" s="297" t="s">
        <v>3060</v>
      </c>
      <c r="G6" s="297"/>
      <c r="H6" s="297" t="s">
        <v>3227</v>
      </c>
      <c r="I6" s="297" t="s">
        <v>3165</v>
      </c>
      <c r="J6" s="45" t="str">
        <f t="shared" si="0"/>
        <v>GoldAccurate Refining Group</v>
      </c>
      <c r="K6" s="45" t="str">
        <f t="shared" si="1"/>
        <v>GoldAccurate Refining Group</v>
      </c>
      <c r="L6" s="243"/>
    </row>
    <row r="7" spans="1:13" ht="10.5" customHeight="1">
      <c r="A7" s="297" t="s">
        <v>2290</v>
      </c>
      <c r="B7" s="297" t="s">
        <v>2636</v>
      </c>
      <c r="C7" s="297" t="s">
        <v>2636</v>
      </c>
      <c r="D7" s="297" t="s">
        <v>4880</v>
      </c>
      <c r="E7" s="297" t="s">
        <v>2637</v>
      </c>
      <c r="F7" s="297" t="s">
        <v>3060</v>
      </c>
      <c r="G7" s="297"/>
      <c r="H7" s="297" t="s">
        <v>3061</v>
      </c>
      <c r="I7" s="297" t="s">
        <v>3062</v>
      </c>
      <c r="J7" s="45" t="str">
        <f t="shared" si="0"/>
        <v>GoldAdvanced Chemical Company</v>
      </c>
      <c r="K7" s="45" t="str">
        <f t="shared" si="1"/>
        <v>GoldAdvanced Chemical Company</v>
      </c>
      <c r="L7" s="243"/>
    </row>
    <row r="8" spans="1:13" ht="10.5" customHeight="1">
      <c r="A8" s="297" t="s">
        <v>2290</v>
      </c>
      <c r="B8" s="297" t="s">
        <v>3255</v>
      </c>
      <c r="C8" s="297" t="s">
        <v>2289</v>
      </c>
      <c r="D8" s="297" t="s">
        <v>2124</v>
      </c>
      <c r="E8" s="297" t="s">
        <v>1309</v>
      </c>
      <c r="F8" s="297" t="s">
        <v>3060</v>
      </c>
      <c r="G8" s="297"/>
      <c r="H8" s="297" t="s">
        <v>3253</v>
      </c>
      <c r="I8" s="297" t="s">
        <v>3254</v>
      </c>
      <c r="J8" s="45" t="str">
        <f t="shared" si="0"/>
        <v>GoldAGR Mathey</v>
      </c>
      <c r="K8" s="45" t="str">
        <f t="shared" si="1"/>
        <v>GoldAGR Mathey</v>
      </c>
      <c r="L8" s="243"/>
    </row>
    <row r="9" spans="1:13" ht="10.5" customHeight="1">
      <c r="A9" s="297" t="s">
        <v>2290</v>
      </c>
      <c r="B9" s="297" t="s">
        <v>3256</v>
      </c>
      <c r="C9" s="297" t="s">
        <v>2289</v>
      </c>
      <c r="D9" s="297" t="s">
        <v>2124</v>
      </c>
      <c r="E9" s="297" t="s">
        <v>1309</v>
      </c>
      <c r="F9" s="297" t="s">
        <v>3060</v>
      </c>
      <c r="G9" s="297"/>
      <c r="H9" s="297" t="s">
        <v>3253</v>
      </c>
      <c r="I9" s="297" t="s">
        <v>3254</v>
      </c>
      <c r="J9" s="45" t="str">
        <f t="shared" si="0"/>
        <v>GoldAGR(Perth Mint Australia)</v>
      </c>
      <c r="K9" s="45" t="str">
        <f t="shared" si="1"/>
        <v>GoldAGR(Perth Mint Australia)</v>
      </c>
      <c r="L9" s="243"/>
    </row>
    <row r="10" spans="1:13" ht="10.5" customHeight="1">
      <c r="A10" s="297" t="s">
        <v>2290</v>
      </c>
      <c r="B10" s="297" t="s">
        <v>4036</v>
      </c>
      <c r="C10" s="297" t="s">
        <v>4036</v>
      </c>
      <c r="D10" s="297" t="s">
        <v>2217</v>
      </c>
      <c r="E10" s="297" t="s">
        <v>1212</v>
      </c>
      <c r="F10" s="297" t="s">
        <v>3060</v>
      </c>
      <c r="G10" s="297"/>
      <c r="H10" s="297" t="s">
        <v>3063</v>
      </c>
      <c r="I10" s="297" t="s">
        <v>3064</v>
      </c>
      <c r="J10" s="45" t="str">
        <f t="shared" si="0"/>
        <v>GoldAida Chemical Industries Co., Ltd.</v>
      </c>
      <c r="K10" s="45" t="str">
        <f t="shared" si="1"/>
        <v>GoldAida Chemical Industries Co., Ltd.</v>
      </c>
      <c r="L10" s="243"/>
    </row>
    <row r="11" spans="1:13" ht="10.5" customHeight="1">
      <c r="A11" s="297" t="s">
        <v>2290</v>
      </c>
      <c r="B11" s="297" t="s">
        <v>3286</v>
      </c>
      <c r="C11" s="297" t="s">
        <v>3286</v>
      </c>
      <c r="D11" s="297" t="s">
        <v>2117</v>
      </c>
      <c r="E11" s="297" t="s">
        <v>3287</v>
      </c>
      <c r="F11" s="297" t="s">
        <v>3060</v>
      </c>
      <c r="G11" s="297"/>
      <c r="H11" s="297" t="s">
        <v>3288</v>
      </c>
      <c r="I11" s="297" t="s">
        <v>3288</v>
      </c>
      <c r="J11" s="45" t="str">
        <f t="shared" si="0"/>
        <v>GoldAl Etihad Gold Refinery DMCC</v>
      </c>
      <c r="K11" s="45" t="str">
        <f t="shared" si="1"/>
        <v>GoldAl Etihad Gold Refinery DMCC</v>
      </c>
      <c r="L11" s="243"/>
    </row>
    <row r="12" spans="1:13" ht="10.5" customHeight="1">
      <c r="A12" s="297" t="s">
        <v>2290</v>
      </c>
      <c r="B12" s="297" t="s">
        <v>69</v>
      </c>
      <c r="C12" s="297" t="s">
        <v>69</v>
      </c>
      <c r="D12" s="297" t="s">
        <v>2164</v>
      </c>
      <c r="E12" s="297" t="s">
        <v>1213</v>
      </c>
      <c r="F12" s="297" t="s">
        <v>3060</v>
      </c>
      <c r="G12" s="297"/>
      <c r="H12" s="297" t="s">
        <v>3065</v>
      </c>
      <c r="I12" s="297" t="s">
        <v>3066</v>
      </c>
      <c r="J12" s="45" t="str">
        <f t="shared" si="0"/>
        <v>GoldAllgemeine Gold-und Silberscheideanstalt A.G.</v>
      </c>
      <c r="K12" s="45" t="str">
        <f t="shared" si="1"/>
        <v>GoldAllgemeine Gold-und Silberscheideanstalt A.G.</v>
      </c>
      <c r="L12" s="243"/>
    </row>
    <row r="13" spans="1:13" ht="10.5" customHeight="1">
      <c r="A13" s="297" t="s">
        <v>2290</v>
      </c>
      <c r="B13" s="297" t="s">
        <v>1168</v>
      </c>
      <c r="C13" s="297" t="s">
        <v>1168</v>
      </c>
      <c r="D13" s="297" t="s">
        <v>1731</v>
      </c>
      <c r="E13" s="297" t="s">
        <v>1214</v>
      </c>
      <c r="F13" s="297" t="s">
        <v>3060</v>
      </c>
      <c r="G13" s="297"/>
      <c r="H13" s="297" t="s">
        <v>3067</v>
      </c>
      <c r="I13" s="297" t="s">
        <v>3068</v>
      </c>
      <c r="J13" s="45" t="str">
        <f t="shared" si="0"/>
        <v>GoldAlmalyk Mining and Metallurgical Complex (AMMC)</v>
      </c>
      <c r="K13" s="45" t="str">
        <f t="shared" si="1"/>
        <v>GoldAlmalyk Mining and Metallurgical Complex (AMMC)</v>
      </c>
      <c r="L13" s="243"/>
    </row>
    <row r="14" spans="1:13" ht="10.5" customHeight="1">
      <c r="A14" s="297" t="s">
        <v>2290</v>
      </c>
      <c r="B14" s="297" t="s">
        <v>3076</v>
      </c>
      <c r="C14" s="297" t="s">
        <v>4545</v>
      </c>
      <c r="D14" s="297" t="s">
        <v>2217</v>
      </c>
      <c r="E14" s="297" t="s">
        <v>1217</v>
      </c>
      <c r="F14" s="297" t="s">
        <v>3060</v>
      </c>
      <c r="G14" s="297"/>
      <c r="H14" s="297" t="s">
        <v>3074</v>
      </c>
      <c r="I14" s="297" t="s">
        <v>3075</v>
      </c>
      <c r="J14" s="45" t="str">
        <f t="shared" si="0"/>
        <v>GoldAmagasaki Factory, Hyogo Prefecture, Japan</v>
      </c>
      <c r="K14" s="45" t="str">
        <f t="shared" si="1"/>
        <v>GoldAmagasaki Factory, Hyogo Prefecture, Japan</v>
      </c>
      <c r="L14" s="243"/>
    </row>
    <row r="15" spans="1:13" ht="10.5" customHeight="1">
      <c r="A15" s="297" t="s">
        <v>2290</v>
      </c>
      <c r="B15" s="297" t="s">
        <v>3069</v>
      </c>
      <c r="C15" s="297" t="s">
        <v>3069</v>
      </c>
      <c r="D15" s="297" t="s">
        <v>2139</v>
      </c>
      <c r="E15" s="297" t="s">
        <v>1215</v>
      </c>
      <c r="F15" s="297" t="s">
        <v>3060</v>
      </c>
      <c r="G15" s="297"/>
      <c r="H15" s="297" t="s">
        <v>3070</v>
      </c>
      <c r="I15" s="297" t="s">
        <v>3071</v>
      </c>
      <c r="J15" s="45" t="str">
        <f t="shared" si="0"/>
        <v>GoldAngloGold Ashanti Córrego do Sítio Mineração</v>
      </c>
      <c r="K15" s="45" t="str">
        <f t="shared" si="1"/>
        <v>GoldAngloGold Ashanti Córrego do Sítio Mineração</v>
      </c>
      <c r="L15" s="243"/>
    </row>
    <row r="16" spans="1:13" ht="10.5" customHeight="1">
      <c r="A16" s="297" t="s">
        <v>2290</v>
      </c>
      <c r="B16" s="297" t="s">
        <v>3243</v>
      </c>
      <c r="C16" s="297" t="s">
        <v>4136</v>
      </c>
      <c r="D16" s="297" t="s">
        <v>2150</v>
      </c>
      <c r="E16" s="297" t="s">
        <v>1303</v>
      </c>
      <c r="F16" s="297" t="s">
        <v>3060</v>
      </c>
      <c r="G16" s="297"/>
      <c r="H16" s="297" t="s">
        <v>3241</v>
      </c>
      <c r="I16" s="297" t="s">
        <v>3242</v>
      </c>
      <c r="J16" s="45" t="str">
        <f t="shared" si="0"/>
        <v>GoldAnhui Tongling Nonferrous Metal Mining Co., Ltd.</v>
      </c>
      <c r="K16" s="45" t="str">
        <f t="shared" si="1"/>
        <v>GoldAnhui Tongling Nonferrous Metal Mining Co., Ltd.</v>
      </c>
      <c r="L16" s="243"/>
    </row>
    <row r="17" spans="1:12" ht="10.5" customHeight="1">
      <c r="A17" s="297" t="s">
        <v>2290</v>
      </c>
      <c r="B17" s="297" t="s">
        <v>3257</v>
      </c>
      <c r="C17" s="297" t="s">
        <v>2289</v>
      </c>
      <c r="D17" s="297" t="s">
        <v>2124</v>
      </c>
      <c r="E17" s="297" t="s">
        <v>1309</v>
      </c>
      <c r="F17" s="297" t="s">
        <v>3060</v>
      </c>
      <c r="G17" s="297"/>
      <c r="H17" s="297" t="s">
        <v>3253</v>
      </c>
      <c r="I17" s="297" t="s">
        <v>3254</v>
      </c>
      <c r="J17" s="45" t="str">
        <f t="shared" si="0"/>
        <v>GoldANZ (Perth Mint 4N)</v>
      </c>
      <c r="K17" s="45" t="str">
        <f t="shared" si="1"/>
        <v>GoldANZ (Perth Mint 4N)</v>
      </c>
      <c r="L17" s="243"/>
    </row>
    <row r="18" spans="1:12" ht="10.5" customHeight="1">
      <c r="A18" s="297" t="s">
        <v>2290</v>
      </c>
      <c r="B18" s="297" t="s">
        <v>4544</v>
      </c>
      <c r="C18" s="297" t="s">
        <v>4544</v>
      </c>
      <c r="D18" s="297" t="s">
        <v>2148</v>
      </c>
      <c r="E18" s="297" t="s">
        <v>1216</v>
      </c>
      <c r="F18" s="297" t="s">
        <v>3060</v>
      </c>
      <c r="G18" s="297"/>
      <c r="H18" s="297" t="s">
        <v>3072</v>
      </c>
      <c r="I18" s="297" t="s">
        <v>3073</v>
      </c>
      <c r="J18" s="45" t="str">
        <f t="shared" si="0"/>
        <v>GoldArgor-Heraeus S.A.</v>
      </c>
      <c r="K18" s="45" t="str">
        <f t="shared" si="1"/>
        <v>GoldArgor-Heraeus S.A.</v>
      </c>
      <c r="L18" s="243"/>
    </row>
    <row r="19" spans="1:12" ht="10.5" customHeight="1">
      <c r="A19" s="297" t="s">
        <v>2290</v>
      </c>
      <c r="B19" s="297" t="s">
        <v>4545</v>
      </c>
      <c r="C19" s="297" t="s">
        <v>4545</v>
      </c>
      <c r="D19" s="297" t="s">
        <v>2217</v>
      </c>
      <c r="E19" s="297" t="s">
        <v>1217</v>
      </c>
      <c r="F19" s="297" t="s">
        <v>3060</v>
      </c>
      <c r="G19" s="297"/>
      <c r="H19" s="297" t="s">
        <v>3074</v>
      </c>
      <c r="I19" s="297" t="s">
        <v>3075</v>
      </c>
      <c r="J19" s="45" t="str">
        <f t="shared" si="0"/>
        <v>GoldAsahi Pretec Corp.</v>
      </c>
      <c r="K19" s="45" t="str">
        <f t="shared" si="1"/>
        <v>GoldAsahi Pretec Corp.</v>
      </c>
      <c r="L19" s="243"/>
    </row>
    <row r="20" spans="1:12" ht="10.5" customHeight="1">
      <c r="A20" s="297" t="s">
        <v>2290</v>
      </c>
      <c r="B20" s="297" t="s">
        <v>4546</v>
      </c>
      <c r="C20" s="297" t="s">
        <v>4546</v>
      </c>
      <c r="D20" s="297" t="s">
        <v>2146</v>
      </c>
      <c r="E20" s="297" t="s">
        <v>1252</v>
      </c>
      <c r="F20" s="297" t="s">
        <v>3060</v>
      </c>
      <c r="G20" s="297"/>
      <c r="H20" s="297" t="s">
        <v>3144</v>
      </c>
      <c r="I20" s="297" t="s">
        <v>3145</v>
      </c>
      <c r="J20" s="45" t="str">
        <f t="shared" si="0"/>
        <v>GoldAsahi Refining Canada Ltd.</v>
      </c>
      <c r="K20" s="45" t="str">
        <f t="shared" si="1"/>
        <v>GoldAsahi Refining Canada Ltd.</v>
      </c>
      <c r="L20" s="243"/>
    </row>
    <row r="21" spans="1:12" ht="10.5" customHeight="1">
      <c r="A21" s="297" t="s">
        <v>2290</v>
      </c>
      <c r="B21" s="297" t="s">
        <v>4152</v>
      </c>
      <c r="C21" s="297" t="s">
        <v>4152</v>
      </c>
      <c r="D21" s="297" t="s">
        <v>4880</v>
      </c>
      <c r="E21" s="297" t="s">
        <v>1251</v>
      </c>
      <c r="F21" s="297" t="s">
        <v>3060</v>
      </c>
      <c r="G21" s="297"/>
      <c r="H21" s="297" t="s">
        <v>3141</v>
      </c>
      <c r="I21" s="297" t="s">
        <v>3142</v>
      </c>
      <c r="J21" s="45" t="str">
        <f t="shared" si="0"/>
        <v>GoldAsahi Refining USA Inc.</v>
      </c>
      <c r="K21" s="45" t="str">
        <f t="shared" si="1"/>
        <v>GoldAsahi Refining USA Inc.</v>
      </c>
      <c r="L21" s="243"/>
    </row>
    <row r="22" spans="1:12" ht="10.5" customHeight="1">
      <c r="A22" s="297" t="s">
        <v>2290</v>
      </c>
      <c r="B22" s="297" t="s">
        <v>4037</v>
      </c>
      <c r="C22" s="297" t="s">
        <v>4037</v>
      </c>
      <c r="D22" s="297" t="s">
        <v>2217</v>
      </c>
      <c r="E22" s="297" t="s">
        <v>1218</v>
      </c>
      <c r="F22" s="297" t="s">
        <v>3060</v>
      </c>
      <c r="G22" s="297"/>
      <c r="H22" s="297" t="s">
        <v>3077</v>
      </c>
      <c r="I22" s="297" t="s">
        <v>3078</v>
      </c>
      <c r="J22" s="45" t="str">
        <f t="shared" si="0"/>
        <v>GoldAsaka Riken Co., Ltd.</v>
      </c>
      <c r="K22" s="45" t="str">
        <f t="shared" si="1"/>
        <v>GoldAsaka Riken Co., Ltd.</v>
      </c>
      <c r="L22" s="243"/>
    </row>
    <row r="23" spans="1:12" ht="10.5" customHeight="1">
      <c r="A23" s="297" t="s">
        <v>2290</v>
      </c>
      <c r="B23" s="297" t="s">
        <v>2414</v>
      </c>
      <c r="C23" s="297" t="s">
        <v>1169</v>
      </c>
      <c r="D23" s="297" t="s">
        <v>1724</v>
      </c>
      <c r="E23" s="297" t="s">
        <v>1219</v>
      </c>
      <c r="F23" s="297" t="s">
        <v>3060</v>
      </c>
      <c r="G23" s="297"/>
      <c r="H23" s="297" t="s">
        <v>3079</v>
      </c>
      <c r="I23" s="297" t="s">
        <v>3080</v>
      </c>
      <c r="J23" s="45" t="str">
        <f t="shared" si="0"/>
        <v>GoldATAkulche</v>
      </c>
      <c r="K23" s="45" t="str">
        <f t="shared" si="1"/>
        <v>GoldATAkulche</v>
      </c>
      <c r="L23" s="243"/>
    </row>
    <row r="24" spans="1:12" ht="10.5" customHeight="1">
      <c r="A24" s="297" t="s">
        <v>2290</v>
      </c>
      <c r="B24" s="297" t="s">
        <v>1169</v>
      </c>
      <c r="C24" s="297" t="s">
        <v>1169</v>
      </c>
      <c r="D24" s="297" t="s">
        <v>1724</v>
      </c>
      <c r="E24" s="297" t="s">
        <v>1219</v>
      </c>
      <c r="F24" s="297" t="s">
        <v>3060</v>
      </c>
      <c r="G24" s="297"/>
      <c r="H24" s="297" t="s">
        <v>3079</v>
      </c>
      <c r="I24" s="297" t="s">
        <v>3080</v>
      </c>
      <c r="J24" s="45" t="str">
        <f t="shared" si="0"/>
        <v>GoldAtasay Kuyumculuk Sanayi Ve Ticaret A.S.</v>
      </c>
      <c r="K24" s="45" t="str">
        <f t="shared" si="1"/>
        <v>GoldAtasay Kuyumculuk Sanayi Ve Ticaret A.S.</v>
      </c>
      <c r="L24" s="243"/>
    </row>
    <row r="25" spans="1:12" ht="10.5" customHeight="1">
      <c r="A25" s="297" t="s">
        <v>2290</v>
      </c>
      <c r="B25" s="297" t="s">
        <v>4547</v>
      </c>
      <c r="C25" s="297" t="s">
        <v>4547</v>
      </c>
      <c r="D25" s="297" t="s">
        <v>1743</v>
      </c>
      <c r="E25" s="297" t="s">
        <v>4548</v>
      </c>
      <c r="F25" s="297" t="s">
        <v>3060</v>
      </c>
      <c r="G25" s="297"/>
      <c r="H25" s="297" t="s">
        <v>4549</v>
      </c>
      <c r="I25" s="297" t="s">
        <v>3206</v>
      </c>
      <c r="J25" s="45" t="str">
        <f t="shared" si="0"/>
        <v>GoldAU Traders and Refiners</v>
      </c>
      <c r="K25" s="45" t="str">
        <f t="shared" si="1"/>
        <v>GoldAU Traders and Refiners</v>
      </c>
      <c r="L25" s="243"/>
    </row>
    <row r="26" spans="1:12" ht="10.5" customHeight="1">
      <c r="A26" s="297" t="s">
        <v>2290</v>
      </c>
      <c r="B26" s="297" t="s">
        <v>4550</v>
      </c>
      <c r="C26" s="297" t="s">
        <v>4550</v>
      </c>
      <c r="D26" s="297" t="s">
        <v>4880</v>
      </c>
      <c r="E26" s="297" t="s">
        <v>4551</v>
      </c>
      <c r="F26" s="297" t="s">
        <v>3060</v>
      </c>
      <c r="G26" s="297"/>
      <c r="H26" s="297" t="s">
        <v>4552</v>
      </c>
      <c r="I26" s="297" t="s">
        <v>4553</v>
      </c>
      <c r="J26" s="45" t="str">
        <f t="shared" si="0"/>
        <v>GoldAURA-II</v>
      </c>
      <c r="K26" s="45" t="str">
        <f t="shared" si="1"/>
        <v>GoldAURA-II</v>
      </c>
      <c r="L26" s="243"/>
    </row>
    <row r="27" spans="1:12" ht="10.5" customHeight="1">
      <c r="A27" s="297" t="s">
        <v>2290</v>
      </c>
      <c r="B27" s="297" t="s">
        <v>2415</v>
      </c>
      <c r="C27" s="297" t="s">
        <v>2415</v>
      </c>
      <c r="D27" s="297" t="s">
        <v>2164</v>
      </c>
      <c r="E27" s="297" t="s">
        <v>1220</v>
      </c>
      <c r="F27" s="297" t="s">
        <v>3060</v>
      </c>
      <c r="G27" s="297"/>
      <c r="H27" s="297" t="s">
        <v>3081</v>
      </c>
      <c r="I27" s="297" t="s">
        <v>3082</v>
      </c>
      <c r="J27" s="45" t="str">
        <f t="shared" si="0"/>
        <v>GoldAurubis AG</v>
      </c>
      <c r="K27" s="45" t="str">
        <f t="shared" si="1"/>
        <v>GoldAurubis AG</v>
      </c>
      <c r="L27" s="243"/>
    </row>
    <row r="28" spans="1:12" ht="10.5" customHeight="1">
      <c r="A28" s="297" t="s">
        <v>2290</v>
      </c>
      <c r="B28" s="297" t="s">
        <v>4554</v>
      </c>
      <c r="C28" s="297" t="s">
        <v>4554</v>
      </c>
      <c r="D28" s="297" t="s">
        <v>2207</v>
      </c>
      <c r="E28" s="297" t="s">
        <v>4555</v>
      </c>
      <c r="F28" s="297" t="s">
        <v>3060</v>
      </c>
      <c r="G28" s="297"/>
      <c r="H28" s="297" t="s">
        <v>4627</v>
      </c>
      <c r="I28" s="297" t="s">
        <v>4628</v>
      </c>
      <c r="J28" s="45" t="str">
        <f t="shared" si="0"/>
        <v>GoldBangalore Refinery</v>
      </c>
      <c r="K28" s="45" t="str">
        <f t="shared" si="1"/>
        <v>GoldBangalore Refinery</v>
      </c>
      <c r="L28" s="243"/>
    </row>
    <row r="29" spans="1:12" ht="10.5" customHeight="1">
      <c r="A29" s="297" t="s">
        <v>2290</v>
      </c>
      <c r="B29" s="297" t="s">
        <v>1757</v>
      </c>
      <c r="C29" s="297" t="s">
        <v>1757</v>
      </c>
      <c r="D29" s="297" t="s">
        <v>1679</v>
      </c>
      <c r="E29" s="297" t="s">
        <v>1221</v>
      </c>
      <c r="F29" s="297" t="s">
        <v>3060</v>
      </c>
      <c r="G29" s="297"/>
      <c r="H29" s="297" t="s">
        <v>4154</v>
      </c>
      <c r="I29" s="297" t="s">
        <v>3084</v>
      </c>
      <c r="J29" s="45" t="str">
        <f t="shared" si="0"/>
        <v>GoldBangko Sentral ng Pilipinas (Central Bank of the Philippines)</v>
      </c>
      <c r="K29" s="45" t="str">
        <f t="shared" si="1"/>
        <v>GoldBangko Sentral ng Pilipinas (Central Bank of the Philippines)</v>
      </c>
      <c r="L29" s="243"/>
    </row>
    <row r="30" spans="1:12" ht="10.5" customHeight="1">
      <c r="A30" s="297" t="s">
        <v>2290</v>
      </c>
      <c r="B30" s="297" t="s">
        <v>2417</v>
      </c>
      <c r="C30" s="297" t="s">
        <v>2417</v>
      </c>
      <c r="D30" s="297" t="s">
        <v>1709</v>
      </c>
      <c r="E30" s="297" t="s">
        <v>1222</v>
      </c>
      <c r="F30" s="297" t="s">
        <v>3060</v>
      </c>
      <c r="G30" s="297"/>
      <c r="H30" s="297" t="s">
        <v>3085</v>
      </c>
      <c r="I30" s="297" t="s">
        <v>3086</v>
      </c>
      <c r="J30" s="45" t="str">
        <f t="shared" si="0"/>
        <v>GoldBoliden AB</v>
      </c>
      <c r="K30" s="45" t="str">
        <f t="shared" si="1"/>
        <v>GoldBoliden AB</v>
      </c>
      <c r="L30" s="243"/>
    </row>
    <row r="31" spans="1:12" ht="10.5" customHeight="1">
      <c r="A31" s="297" t="s">
        <v>2290</v>
      </c>
      <c r="B31" s="297" t="s">
        <v>1223</v>
      </c>
      <c r="C31" s="297" t="s">
        <v>1223</v>
      </c>
      <c r="D31" s="297" t="s">
        <v>2164</v>
      </c>
      <c r="E31" s="297" t="s">
        <v>1224</v>
      </c>
      <c r="F31" s="297" t="s">
        <v>3060</v>
      </c>
      <c r="G31" s="297"/>
      <c r="H31" s="297" t="s">
        <v>3065</v>
      </c>
      <c r="I31" s="297" t="s">
        <v>3066</v>
      </c>
      <c r="J31" s="45" t="str">
        <f t="shared" si="0"/>
        <v>GoldC. Hafner GmbH + Co. KG</v>
      </c>
      <c r="K31" s="45" t="str">
        <f t="shared" si="1"/>
        <v>GoldC. Hafner GmbH + Co. KG</v>
      </c>
      <c r="L31" s="243"/>
    </row>
    <row r="32" spans="1:12" ht="10.5" customHeight="1">
      <c r="A32" s="297" t="s">
        <v>2290</v>
      </c>
      <c r="B32" s="297" t="s">
        <v>1758</v>
      </c>
      <c r="C32" s="297" t="s">
        <v>1758</v>
      </c>
      <c r="D32" s="297" t="s">
        <v>2243</v>
      </c>
      <c r="E32" s="297" t="s">
        <v>1225</v>
      </c>
      <c r="F32" s="297" t="s">
        <v>3060</v>
      </c>
      <c r="G32" s="297"/>
      <c r="H32" s="297" t="s">
        <v>3087</v>
      </c>
      <c r="I32" s="297" t="s">
        <v>3088</v>
      </c>
      <c r="J32" s="45" t="str">
        <f t="shared" si="0"/>
        <v>GoldCaridad</v>
      </c>
      <c r="K32" s="45" t="str">
        <f t="shared" si="1"/>
        <v>GoldCaridad</v>
      </c>
      <c r="L32" s="243"/>
    </row>
    <row r="33" spans="1:12" ht="10.5" customHeight="1">
      <c r="A33" s="297" t="s">
        <v>2290</v>
      </c>
      <c r="B33" s="297" t="s">
        <v>3091</v>
      </c>
      <c r="C33" s="297" t="s">
        <v>4207</v>
      </c>
      <c r="D33" s="297" t="s">
        <v>2146</v>
      </c>
      <c r="E33" s="297" t="s">
        <v>1226</v>
      </c>
      <c r="F33" s="297" t="s">
        <v>3060</v>
      </c>
      <c r="G33" s="297"/>
      <c r="H33" s="297" t="s">
        <v>3089</v>
      </c>
      <c r="I33" s="297" t="s">
        <v>3090</v>
      </c>
      <c r="J33" s="45" t="str">
        <f t="shared" si="0"/>
        <v>GoldCCR</v>
      </c>
      <c r="K33" s="45" t="str">
        <f t="shared" si="1"/>
        <v>GoldCCR</v>
      </c>
      <c r="L33" s="243"/>
    </row>
    <row r="34" spans="1:12" ht="10.5" customHeight="1">
      <c r="A34" s="297" t="s">
        <v>2290</v>
      </c>
      <c r="B34" s="297" t="s">
        <v>4207</v>
      </c>
      <c r="C34" s="297" t="s">
        <v>4207</v>
      </c>
      <c r="D34" s="297" t="s">
        <v>2146</v>
      </c>
      <c r="E34" s="297" t="s">
        <v>1226</v>
      </c>
      <c r="F34" s="297" t="s">
        <v>3060</v>
      </c>
      <c r="G34" s="297"/>
      <c r="H34" s="297" t="s">
        <v>3089</v>
      </c>
      <c r="I34" s="297" t="s">
        <v>3090</v>
      </c>
      <c r="J34" s="45" t="str">
        <f t="shared" si="0"/>
        <v>GoldCCR Refinery - Glencore Canada Corporation</v>
      </c>
      <c r="K34" s="45" t="str">
        <f t="shared" si="1"/>
        <v>GoldCCR Refinery - Glencore Canada Corporation</v>
      </c>
      <c r="L34" s="243"/>
    </row>
    <row r="35" spans="1:12" ht="10.5" customHeight="1">
      <c r="A35" s="297" t="s">
        <v>2290</v>
      </c>
      <c r="B35" s="297" t="s">
        <v>4556</v>
      </c>
      <c r="C35" s="297" t="s">
        <v>4557</v>
      </c>
      <c r="D35" s="297" t="s">
        <v>2148</v>
      </c>
      <c r="E35" s="297" t="s">
        <v>1227</v>
      </c>
      <c r="F35" s="297" t="s">
        <v>3060</v>
      </c>
      <c r="G35" s="297"/>
      <c r="H35" s="297" t="s">
        <v>3093</v>
      </c>
      <c r="I35" s="297" t="s">
        <v>3094</v>
      </c>
      <c r="J35" s="45" t="str">
        <f t="shared" si="0"/>
        <v>GoldCendres + M?taux SA</v>
      </c>
      <c r="K35" s="45" t="str">
        <f t="shared" si="1"/>
        <v>GoldCendres + M?taux SA</v>
      </c>
      <c r="L35" s="243"/>
    </row>
    <row r="36" spans="1:12" ht="10.5" customHeight="1">
      <c r="A36" s="297" t="s">
        <v>2290</v>
      </c>
      <c r="B36" s="297" t="s">
        <v>4557</v>
      </c>
      <c r="C36" s="297" t="s">
        <v>4557</v>
      </c>
      <c r="D36" s="297" t="s">
        <v>2148</v>
      </c>
      <c r="E36" s="297" t="s">
        <v>1227</v>
      </c>
      <c r="F36" s="297" t="s">
        <v>3060</v>
      </c>
      <c r="G36" s="297"/>
      <c r="H36" s="297" t="s">
        <v>3093</v>
      </c>
      <c r="I36" s="297" t="s">
        <v>3094</v>
      </c>
      <c r="J36" s="45" t="str">
        <f t="shared" si="0"/>
        <v>GoldCendres + Métaux S.A.</v>
      </c>
      <c r="K36" s="45" t="str">
        <f t="shared" si="1"/>
        <v>GoldCendres + Métaux S.A.</v>
      </c>
      <c r="L36" s="243"/>
    </row>
    <row r="37" spans="1:12" ht="10.5" customHeight="1">
      <c r="A37" s="297" t="s">
        <v>2290</v>
      </c>
      <c r="B37" s="297" t="s">
        <v>2416</v>
      </c>
      <c r="C37" s="297" t="s">
        <v>1757</v>
      </c>
      <c r="D37" s="297" t="s">
        <v>1679</v>
      </c>
      <c r="E37" s="297" t="s">
        <v>1221</v>
      </c>
      <c r="F37" s="297" t="s">
        <v>3060</v>
      </c>
      <c r="G37" s="297"/>
      <c r="H37" s="297" t="s">
        <v>4154</v>
      </c>
      <c r="I37" s="297" t="s">
        <v>3084</v>
      </c>
      <c r="J37" s="45" t="str">
        <f t="shared" si="0"/>
        <v>GoldCentral Bank of the Philippines Gold Refinery &amp; Mint</v>
      </c>
      <c r="K37" s="45" t="str">
        <f t="shared" si="1"/>
        <v>GoldCentral Bank of the Philippines Gold Refinery &amp; Mint</v>
      </c>
      <c r="L37" s="243"/>
    </row>
    <row r="38" spans="1:12" ht="10.5" customHeight="1">
      <c r="A38" s="297" t="s">
        <v>2290</v>
      </c>
      <c r="B38" s="297" t="s">
        <v>3097</v>
      </c>
      <c r="C38" s="297" t="s">
        <v>4038</v>
      </c>
      <c r="D38" s="297" t="s">
        <v>2150</v>
      </c>
      <c r="E38" s="297" t="s">
        <v>1312</v>
      </c>
      <c r="F38" s="297" t="s">
        <v>3060</v>
      </c>
      <c r="G38" s="297"/>
      <c r="H38" s="297" t="s">
        <v>3095</v>
      </c>
      <c r="I38" s="297" t="s">
        <v>3096</v>
      </c>
      <c r="J38" s="45" t="str">
        <f t="shared" si="0"/>
        <v>GoldCHALCO Yunnan Copper Co. Ltd.</v>
      </c>
      <c r="K38" s="45" t="str">
        <f t="shared" si="1"/>
        <v>GoldCHALCO Yunnan Copper Co. Ltd.</v>
      </c>
      <c r="L38" s="243"/>
    </row>
    <row r="39" spans="1:12" ht="10.5" customHeight="1">
      <c r="A39" s="297" t="s">
        <v>2290</v>
      </c>
      <c r="B39" s="297" t="s">
        <v>70</v>
      </c>
      <c r="C39" s="297" t="s">
        <v>70</v>
      </c>
      <c r="D39" s="297" t="s">
        <v>2214</v>
      </c>
      <c r="E39" s="297" t="s">
        <v>1228</v>
      </c>
      <c r="F39" s="297" t="s">
        <v>3060</v>
      </c>
      <c r="G39" s="297"/>
      <c r="H39" s="297" t="s">
        <v>3098</v>
      </c>
      <c r="I39" s="297" t="s">
        <v>3099</v>
      </c>
      <c r="J39" s="45" t="str">
        <f t="shared" si="0"/>
        <v>GoldChimet S.p.A.</v>
      </c>
      <c r="K39" s="45" t="str">
        <f t="shared" si="1"/>
        <v>GoldChimet S.p.A.</v>
      </c>
      <c r="L39" s="243"/>
    </row>
    <row r="40" spans="1:12" ht="10.5" customHeight="1">
      <c r="A40" s="297" t="s">
        <v>2290</v>
      </c>
      <c r="B40" s="297" t="s">
        <v>32</v>
      </c>
      <c r="C40" s="297" t="s">
        <v>2540</v>
      </c>
      <c r="D40" s="297" t="s">
        <v>2150</v>
      </c>
      <c r="E40" s="297" t="s">
        <v>1313</v>
      </c>
      <c r="F40" s="297" t="s">
        <v>3060</v>
      </c>
      <c r="G40" s="297"/>
      <c r="H40" s="297" t="s">
        <v>3261</v>
      </c>
      <c r="I40" s="297" t="s">
        <v>3159</v>
      </c>
      <c r="J40" s="45" t="str">
        <f t="shared" si="0"/>
        <v>GoldChina Henan Zhongyuan Gold Smelter</v>
      </c>
      <c r="K40" s="45" t="str">
        <f t="shared" si="1"/>
        <v>GoldChina Henan Zhongyuan Gold Smelter</v>
      </c>
      <c r="L40" s="243"/>
    </row>
    <row r="41" spans="1:12" ht="10.5" customHeight="1">
      <c r="A41" s="297" t="s">
        <v>2290</v>
      </c>
      <c r="B41" s="297" t="s">
        <v>33</v>
      </c>
      <c r="C41" s="297" t="s">
        <v>4063</v>
      </c>
      <c r="D41" s="297" t="s">
        <v>2150</v>
      </c>
      <c r="E41" s="297" t="s">
        <v>1301</v>
      </c>
      <c r="F41" s="297" t="s">
        <v>3060</v>
      </c>
      <c r="G41" s="297"/>
      <c r="H41" s="297" t="s">
        <v>3221</v>
      </c>
      <c r="I41" s="297" t="s">
        <v>3198</v>
      </c>
      <c r="J41" s="45" t="str">
        <f t="shared" si="0"/>
        <v>GoldChina's Shandong Gold Mining Co., Ltd</v>
      </c>
      <c r="K41" s="45" t="str">
        <f t="shared" si="1"/>
        <v>GoldChina's Shandong Gold Mining Co., Ltd</v>
      </c>
      <c r="L41" s="243"/>
    </row>
    <row r="42" spans="1:12" ht="10.5" customHeight="1">
      <c r="A42" s="297" t="s">
        <v>2290</v>
      </c>
      <c r="B42" s="297" t="s">
        <v>964</v>
      </c>
      <c r="C42" s="297" t="s">
        <v>964</v>
      </c>
      <c r="D42" s="297" t="s">
        <v>2217</v>
      </c>
      <c r="E42" s="297" t="s">
        <v>1229</v>
      </c>
      <c r="F42" s="297" t="s">
        <v>3060</v>
      </c>
      <c r="G42" s="297"/>
      <c r="H42" s="297" t="s">
        <v>3100</v>
      </c>
      <c r="I42" s="297" t="s">
        <v>3096</v>
      </c>
      <c r="J42" s="45" t="str">
        <f t="shared" si="0"/>
        <v>GoldChugai Mining</v>
      </c>
      <c r="K42" s="45" t="str">
        <f t="shared" si="1"/>
        <v>GoldChugai Mining</v>
      </c>
      <c r="L42" s="243"/>
    </row>
    <row r="43" spans="1:12" ht="10.5" customHeight="1">
      <c r="A43" s="297" t="s">
        <v>2290</v>
      </c>
      <c r="B43" s="297" t="s">
        <v>4040</v>
      </c>
      <c r="C43" s="297" t="s">
        <v>4040</v>
      </c>
      <c r="D43" s="297" t="s">
        <v>4876</v>
      </c>
      <c r="E43" s="297" t="s">
        <v>1230</v>
      </c>
      <c r="F43" s="297" t="s">
        <v>3060</v>
      </c>
      <c r="G43" s="297"/>
      <c r="H43" s="297" t="s">
        <v>4558</v>
      </c>
      <c r="I43" s="297" t="s">
        <v>3102</v>
      </c>
      <c r="J43" s="45" t="str">
        <f t="shared" si="0"/>
        <v>GoldDaejin Indus Co., Ltd.</v>
      </c>
      <c r="K43" s="45" t="str">
        <f t="shared" si="1"/>
        <v>GoldDaejin Indus Co., Ltd.</v>
      </c>
      <c r="L43" s="243"/>
    </row>
    <row r="44" spans="1:12" ht="10.5" customHeight="1">
      <c r="A44" s="297" t="s">
        <v>2290</v>
      </c>
      <c r="B44" s="297" t="s">
        <v>3103</v>
      </c>
      <c r="C44" s="297" t="s">
        <v>4040</v>
      </c>
      <c r="D44" s="297" t="s">
        <v>4876</v>
      </c>
      <c r="E44" s="297" t="s">
        <v>1230</v>
      </c>
      <c r="F44" s="297" t="s">
        <v>3060</v>
      </c>
      <c r="G44" s="297"/>
      <c r="H44" s="297" t="s">
        <v>4558</v>
      </c>
      <c r="I44" s="297" t="s">
        <v>3102</v>
      </c>
      <c r="J44" s="45" t="str">
        <f t="shared" si="0"/>
        <v>GoldDaejin Industry</v>
      </c>
      <c r="K44" s="45" t="str">
        <f t="shared" si="1"/>
        <v>GoldDaejin Industry</v>
      </c>
      <c r="L44" s="243"/>
    </row>
    <row r="45" spans="1:12" ht="10.5" customHeight="1">
      <c r="A45" s="297" t="s">
        <v>2290</v>
      </c>
      <c r="B45" s="297" t="s">
        <v>1231</v>
      </c>
      <c r="C45" s="297" t="s">
        <v>1231</v>
      </c>
      <c r="D45" s="297" t="s">
        <v>2150</v>
      </c>
      <c r="E45" s="297" t="s">
        <v>1232</v>
      </c>
      <c r="F45" s="297" t="s">
        <v>3060</v>
      </c>
      <c r="G45" s="297"/>
      <c r="H45" s="297" t="s">
        <v>3104</v>
      </c>
      <c r="I45" s="297" t="s">
        <v>3105</v>
      </c>
      <c r="J45" s="45" t="str">
        <f t="shared" si="0"/>
        <v>GoldDaye Non-Ferrous Metals Mining Ltd.</v>
      </c>
      <c r="K45" s="45" t="str">
        <f t="shared" si="1"/>
        <v>GoldDaye Non-Ferrous Metals Mining Ltd.</v>
      </c>
      <c r="L45" s="243"/>
    </row>
    <row r="46" spans="1:12" ht="10.5" customHeight="1">
      <c r="A46" s="297" t="s">
        <v>2290</v>
      </c>
      <c r="B46" s="297" t="s">
        <v>4896</v>
      </c>
      <c r="C46" s="297" t="s">
        <v>4896</v>
      </c>
      <c r="D46" s="297" t="s">
        <v>2164</v>
      </c>
      <c r="E46" s="297" t="s">
        <v>4897</v>
      </c>
      <c r="F46" s="297" t="s">
        <v>3060</v>
      </c>
      <c r="G46" s="297"/>
      <c r="H46" s="297" t="s">
        <v>3065</v>
      </c>
      <c r="I46" s="297" t="s">
        <v>3066</v>
      </c>
      <c r="J46" s="45" t="str">
        <f t="shared" si="0"/>
        <v>GoldDegussa Sonne / Mond Goldhandel GmbH</v>
      </c>
      <c r="K46" s="45" t="str">
        <f t="shared" si="1"/>
        <v>GoldDegussa Sonne / Mond Goldhandel GmbH</v>
      </c>
      <c r="L46" s="243"/>
    </row>
    <row r="47" spans="1:12" ht="10.5" customHeight="1">
      <c r="A47" s="297" t="s">
        <v>2290</v>
      </c>
      <c r="B47" s="297" t="s">
        <v>1154</v>
      </c>
      <c r="C47" s="297" t="s">
        <v>4225</v>
      </c>
      <c r="D47" s="297" t="s">
        <v>4876</v>
      </c>
      <c r="E47" s="297" t="s">
        <v>1233</v>
      </c>
      <c r="F47" s="297" t="s">
        <v>3060</v>
      </c>
      <c r="G47" s="297"/>
      <c r="H47" s="297" t="s">
        <v>3106</v>
      </c>
      <c r="I47" s="297" t="s">
        <v>3107</v>
      </c>
      <c r="J47" s="45" t="str">
        <f t="shared" si="0"/>
        <v>GoldDo Sung Corporation</v>
      </c>
      <c r="K47" s="45" t="str">
        <f t="shared" si="1"/>
        <v>GoldDo Sung Corporation</v>
      </c>
      <c r="L47" s="243"/>
    </row>
    <row r="48" spans="1:12" ht="10.5" customHeight="1">
      <c r="A48" s="297" t="s">
        <v>2290</v>
      </c>
      <c r="B48" s="297" t="s">
        <v>1234</v>
      </c>
      <c r="C48" s="297" t="s">
        <v>4177</v>
      </c>
      <c r="D48" s="297" t="s">
        <v>2164</v>
      </c>
      <c r="E48" s="297" t="s">
        <v>1235</v>
      </c>
      <c r="F48" s="297" t="s">
        <v>3060</v>
      </c>
      <c r="G48" s="297"/>
      <c r="H48" s="297" t="s">
        <v>3065</v>
      </c>
      <c r="I48" s="297" t="s">
        <v>3066</v>
      </c>
      <c r="J48" s="45" t="str">
        <f t="shared" si="0"/>
        <v>GoldDoduco</v>
      </c>
      <c r="K48" s="45" t="str">
        <f t="shared" si="1"/>
        <v>GoldDoduco</v>
      </c>
      <c r="L48" s="243"/>
    </row>
    <row r="49" spans="1:12" ht="10.5" customHeight="1">
      <c r="A49" s="297" t="s">
        <v>2290</v>
      </c>
      <c r="B49" s="297" t="s">
        <v>4177</v>
      </c>
      <c r="C49" s="297" t="s">
        <v>4177</v>
      </c>
      <c r="D49" s="297" t="s">
        <v>2164</v>
      </c>
      <c r="E49" s="297" t="s">
        <v>1235</v>
      </c>
      <c r="F49" s="297" t="s">
        <v>3060</v>
      </c>
      <c r="G49" s="297"/>
      <c r="H49" s="297" t="s">
        <v>3065</v>
      </c>
      <c r="I49" s="297" t="s">
        <v>3066</v>
      </c>
      <c r="J49" s="45" t="str">
        <f t="shared" si="0"/>
        <v>GoldDODUCO GmbH</v>
      </c>
      <c r="K49" s="45" t="str">
        <f t="shared" si="1"/>
        <v>GoldDODUCO GmbH</v>
      </c>
      <c r="L49" s="243"/>
    </row>
    <row r="50" spans="1:12" ht="10.5" customHeight="1">
      <c r="A50" s="297" t="s">
        <v>2290</v>
      </c>
      <c r="B50" s="297" t="s">
        <v>50</v>
      </c>
      <c r="C50" s="297" t="s">
        <v>4225</v>
      </c>
      <c r="D50" s="297" t="s">
        <v>4876</v>
      </c>
      <c r="E50" s="297" t="s">
        <v>1233</v>
      </c>
      <c r="F50" s="297" t="s">
        <v>3060</v>
      </c>
      <c r="G50" s="297"/>
      <c r="H50" s="297" t="s">
        <v>3106</v>
      </c>
      <c r="I50" s="297" t="s">
        <v>3107</v>
      </c>
      <c r="J50" s="45" t="str">
        <f t="shared" si="0"/>
        <v>GoldDosung metal</v>
      </c>
      <c r="K50" s="45" t="str">
        <f t="shared" si="1"/>
        <v>GoldDosung metal</v>
      </c>
      <c r="L50" s="243"/>
    </row>
    <row r="51" spans="1:12" ht="10.5" customHeight="1">
      <c r="A51" s="297" t="s">
        <v>2290</v>
      </c>
      <c r="B51" s="297" t="s">
        <v>1759</v>
      </c>
      <c r="C51" s="297" t="s">
        <v>1759</v>
      </c>
      <c r="D51" s="297" t="s">
        <v>2217</v>
      </c>
      <c r="E51" s="297" t="s">
        <v>1236</v>
      </c>
      <c r="F51" s="297" t="s">
        <v>3060</v>
      </c>
      <c r="G51" s="297"/>
      <c r="H51" s="297" t="s">
        <v>3108</v>
      </c>
      <c r="I51" s="297" t="s">
        <v>3109</v>
      </c>
      <c r="J51" s="45" t="str">
        <f t="shared" si="0"/>
        <v>GoldDowa</v>
      </c>
      <c r="K51" s="45" t="str">
        <f t="shared" si="1"/>
        <v>GoldDowa</v>
      </c>
      <c r="L51" s="243"/>
    </row>
    <row r="52" spans="1:12" ht="10.5" customHeight="1">
      <c r="A52" s="297" t="s">
        <v>2290</v>
      </c>
      <c r="B52" s="297" t="s">
        <v>3110</v>
      </c>
      <c r="C52" s="297" t="s">
        <v>1759</v>
      </c>
      <c r="D52" s="297" t="s">
        <v>2217</v>
      </c>
      <c r="E52" s="297" t="s">
        <v>1236</v>
      </c>
      <c r="F52" s="297" t="s">
        <v>3060</v>
      </c>
      <c r="G52" s="297"/>
      <c r="H52" s="297" t="s">
        <v>3108</v>
      </c>
      <c r="I52" s="297" t="s">
        <v>3109</v>
      </c>
      <c r="J52" s="45" t="str">
        <f t="shared" si="0"/>
        <v>GoldDowa Kogyo k.k.</v>
      </c>
      <c r="K52" s="45" t="str">
        <f t="shared" si="1"/>
        <v>GoldDowa Kogyo k.k.</v>
      </c>
      <c r="L52" s="243"/>
    </row>
    <row r="53" spans="1:12" ht="10.5" customHeight="1">
      <c r="A53" s="297" t="s">
        <v>2290</v>
      </c>
      <c r="B53" s="297" t="s">
        <v>3111</v>
      </c>
      <c r="C53" s="297" t="s">
        <v>1759</v>
      </c>
      <c r="D53" s="297" t="s">
        <v>2217</v>
      </c>
      <c r="E53" s="297" t="s">
        <v>1236</v>
      </c>
      <c r="F53" s="297" t="s">
        <v>3060</v>
      </c>
      <c r="G53" s="297"/>
      <c r="H53" s="297" t="s">
        <v>3108</v>
      </c>
      <c r="I53" s="297" t="s">
        <v>3109</v>
      </c>
      <c r="J53" s="45" t="str">
        <f t="shared" si="0"/>
        <v>GoldDowa Metalmine Co. Ltd</v>
      </c>
      <c r="K53" s="45" t="str">
        <f t="shared" si="1"/>
        <v>GoldDowa Metalmine Co. Ltd</v>
      </c>
      <c r="L53" s="243"/>
    </row>
    <row r="54" spans="1:12" ht="10.5" customHeight="1">
      <c r="A54" s="297" t="s">
        <v>2290</v>
      </c>
      <c r="B54" s="297" t="s">
        <v>3112</v>
      </c>
      <c r="C54" s="297" t="s">
        <v>1759</v>
      </c>
      <c r="D54" s="297" t="s">
        <v>2217</v>
      </c>
      <c r="E54" s="297" t="s">
        <v>1236</v>
      </c>
      <c r="F54" s="297" t="s">
        <v>3060</v>
      </c>
      <c r="G54" s="297"/>
      <c r="H54" s="297" t="s">
        <v>3108</v>
      </c>
      <c r="I54" s="297" t="s">
        <v>3109</v>
      </c>
      <c r="J54" s="45" t="str">
        <f t="shared" si="0"/>
        <v>GoldDowa Metals &amp; Mining Co. Ltd</v>
      </c>
      <c r="K54" s="45" t="str">
        <f t="shared" si="1"/>
        <v>GoldDowa Metals &amp; Mining Co. Ltd</v>
      </c>
      <c r="L54" s="243"/>
    </row>
    <row r="55" spans="1:12" ht="10.5" customHeight="1">
      <c r="A55" s="297" t="s">
        <v>2290</v>
      </c>
      <c r="B55" s="297" t="s">
        <v>4225</v>
      </c>
      <c r="C55" s="297" t="s">
        <v>4225</v>
      </c>
      <c r="D55" s="297" t="s">
        <v>4876</v>
      </c>
      <c r="E55" s="297" t="s">
        <v>1233</v>
      </c>
      <c r="F55" s="297" t="s">
        <v>3060</v>
      </c>
      <c r="G55" s="297"/>
      <c r="H55" s="297" t="s">
        <v>3106</v>
      </c>
      <c r="I55" s="297" t="s">
        <v>3107</v>
      </c>
      <c r="J55" s="45" t="str">
        <f t="shared" si="0"/>
        <v>GoldDSC (Do Sung Corporation)</v>
      </c>
      <c r="K55" s="45" t="str">
        <f t="shared" si="1"/>
        <v>GoldDSC (Do Sung Corporation)</v>
      </c>
      <c r="L55" s="243"/>
    </row>
    <row r="56" spans="1:12" ht="10.5" customHeight="1">
      <c r="A56" s="297" t="s">
        <v>2290</v>
      </c>
      <c r="B56" s="297" t="s">
        <v>714</v>
      </c>
      <c r="C56" s="297" t="s">
        <v>714</v>
      </c>
      <c r="D56" s="297" t="s">
        <v>2217</v>
      </c>
      <c r="E56" s="297" t="s">
        <v>715</v>
      </c>
      <c r="F56" s="297" t="s">
        <v>3060</v>
      </c>
      <c r="G56" s="297"/>
      <c r="H56" s="297" t="s">
        <v>3113</v>
      </c>
      <c r="I56" s="297" t="s">
        <v>3114</v>
      </c>
      <c r="J56" s="45" t="str">
        <f t="shared" si="0"/>
        <v>GoldEco-System Recycling Co., Ltd.</v>
      </c>
      <c r="K56" s="45" t="str">
        <f t="shared" si="1"/>
        <v>GoldEco-System Recycling Co., Ltd.</v>
      </c>
      <c r="L56" s="243"/>
    </row>
    <row r="57" spans="1:12" ht="10.5" customHeight="1">
      <c r="A57" s="297" t="s">
        <v>2290</v>
      </c>
      <c r="B57" s="297" t="s">
        <v>4153</v>
      </c>
      <c r="C57" s="297" t="s">
        <v>4153</v>
      </c>
      <c r="D57" s="297" t="s">
        <v>4880</v>
      </c>
      <c r="E57" s="297" t="s">
        <v>1279</v>
      </c>
      <c r="F57" s="297" t="s">
        <v>3060</v>
      </c>
      <c r="G57" s="297"/>
      <c r="H57" s="297" t="s">
        <v>3190</v>
      </c>
      <c r="I57" s="297" t="s">
        <v>3191</v>
      </c>
      <c r="J57" s="45" t="str">
        <f t="shared" si="0"/>
        <v>GoldElemetal Refining, LLC</v>
      </c>
      <c r="K57" s="45" t="str">
        <f t="shared" si="1"/>
        <v>GoldElemetal Refining, LLC</v>
      </c>
      <c r="L57" s="243"/>
    </row>
    <row r="58" spans="1:12" ht="10.5" customHeight="1">
      <c r="A58" s="297" t="s">
        <v>2290</v>
      </c>
      <c r="B58" s="297" t="s">
        <v>3289</v>
      </c>
      <c r="C58" s="297" t="s">
        <v>3289</v>
      </c>
      <c r="D58" s="297" t="s">
        <v>2117</v>
      </c>
      <c r="E58" s="297" t="s">
        <v>3290</v>
      </c>
      <c r="F58" s="297" t="s">
        <v>3060</v>
      </c>
      <c r="G58" s="297"/>
      <c r="H58" s="297" t="s">
        <v>3288</v>
      </c>
      <c r="I58" s="297" t="s">
        <v>3288</v>
      </c>
      <c r="J58" s="45" t="str">
        <f t="shared" si="0"/>
        <v>GoldEmirates Gold DMCC</v>
      </c>
      <c r="K58" s="45" t="str">
        <f t="shared" si="1"/>
        <v>GoldEmirates Gold DMCC</v>
      </c>
      <c r="L58" s="243"/>
    </row>
    <row r="59" spans="1:12" ht="10.5" customHeight="1">
      <c r="A59" s="297" t="s">
        <v>2290</v>
      </c>
      <c r="B59" s="297" t="s">
        <v>2638</v>
      </c>
      <c r="C59" s="297" t="s">
        <v>2638</v>
      </c>
      <c r="D59" s="297" t="s">
        <v>1746</v>
      </c>
      <c r="E59" s="297" t="s">
        <v>2639</v>
      </c>
      <c r="F59" s="297" t="s">
        <v>3060</v>
      </c>
      <c r="G59" s="297"/>
      <c r="H59" s="297" t="s">
        <v>3282</v>
      </c>
      <c r="I59" s="297" t="s">
        <v>3283</v>
      </c>
      <c r="J59" s="45" t="str">
        <f t="shared" si="0"/>
        <v>GoldFidelity Printers and Refiners Ltd.</v>
      </c>
      <c r="K59" s="45" t="str">
        <f t="shared" si="1"/>
        <v>GoldFidelity Printers and Refiners Ltd.</v>
      </c>
      <c r="L59" s="243"/>
    </row>
    <row r="60" spans="1:12" ht="10.5" customHeight="1">
      <c r="A60" s="297" t="s">
        <v>2290</v>
      </c>
      <c r="B60" s="297" t="s">
        <v>1760</v>
      </c>
      <c r="C60" s="297" t="s">
        <v>4150</v>
      </c>
      <c r="D60" s="297" t="s">
        <v>1690</v>
      </c>
      <c r="E60" s="297" t="s">
        <v>1237</v>
      </c>
      <c r="F60" s="297" t="s">
        <v>3060</v>
      </c>
      <c r="G60" s="297"/>
      <c r="H60" s="297" t="s">
        <v>3115</v>
      </c>
      <c r="I60" s="297" t="s">
        <v>4227</v>
      </c>
      <c r="J60" s="45" t="str">
        <f t="shared" si="0"/>
        <v>GoldFSE Novosibirsk Refinery</v>
      </c>
      <c r="K60" s="45" t="str">
        <f t="shared" si="1"/>
        <v>GoldFSE Novosibirsk Refinery</v>
      </c>
      <c r="L60" s="243"/>
    </row>
    <row r="61" spans="1:12" ht="10.5" customHeight="1">
      <c r="A61" s="297" t="s">
        <v>2290</v>
      </c>
      <c r="B61" s="297" t="s">
        <v>34</v>
      </c>
      <c r="C61" s="297" t="s">
        <v>4175</v>
      </c>
      <c r="D61" s="297" t="s">
        <v>2150</v>
      </c>
      <c r="E61" s="297" t="s">
        <v>1314</v>
      </c>
      <c r="F61" s="297" t="s">
        <v>3060</v>
      </c>
      <c r="G61" s="297"/>
      <c r="H61" s="297" t="s">
        <v>3266</v>
      </c>
      <c r="I61" s="297" t="s">
        <v>3267</v>
      </c>
      <c r="J61" s="45" t="str">
        <f t="shared" si="0"/>
        <v>GoldFujian Zijin mining stock company gold smelter</v>
      </c>
      <c r="K61" s="45" t="str">
        <f t="shared" si="1"/>
        <v>GoldFujian Zijin mining stock company gold smelter</v>
      </c>
      <c r="L61" s="243"/>
    </row>
    <row r="62" spans="1:12" ht="10.5" customHeight="1">
      <c r="A62" s="297" t="s">
        <v>2290</v>
      </c>
      <c r="B62" s="297" t="s">
        <v>4041</v>
      </c>
      <c r="C62" s="297" t="s">
        <v>4041</v>
      </c>
      <c r="D62" s="297" t="s">
        <v>2150</v>
      </c>
      <c r="E62" s="297" t="s">
        <v>1238</v>
      </c>
      <c r="F62" s="297" t="s">
        <v>3060</v>
      </c>
      <c r="G62" s="297"/>
      <c r="H62" s="297" t="s">
        <v>3116</v>
      </c>
      <c r="I62" s="297" t="s">
        <v>3117</v>
      </c>
      <c r="J62" s="45" t="str">
        <f t="shared" si="0"/>
        <v>GoldGansu Seemine Material Hi-Tech Co., Ltd.</v>
      </c>
      <c r="K62" s="45" t="str">
        <f t="shared" si="1"/>
        <v>GoldGansu Seemine Material Hi-Tech Co., Ltd.</v>
      </c>
      <c r="L62" s="243"/>
    </row>
    <row r="63" spans="1:12" ht="10.5" customHeight="1">
      <c r="A63" s="297" t="s">
        <v>2290</v>
      </c>
      <c r="B63" s="297" t="s">
        <v>3274</v>
      </c>
      <c r="C63" s="297" t="s">
        <v>3274</v>
      </c>
      <c r="D63" s="297" t="s">
        <v>4880</v>
      </c>
      <c r="E63" s="297" t="s">
        <v>3275</v>
      </c>
      <c r="F63" s="297" t="s">
        <v>3060</v>
      </c>
      <c r="G63" s="297"/>
      <c r="H63" s="297" t="s">
        <v>3061</v>
      </c>
      <c r="I63" s="297" t="s">
        <v>3062</v>
      </c>
      <c r="J63" s="45" t="str">
        <f t="shared" si="0"/>
        <v>GoldGeib Refining Corporation</v>
      </c>
      <c r="K63" s="45" t="str">
        <f t="shared" si="1"/>
        <v>GoldGeib Refining Corporation</v>
      </c>
      <c r="L63" s="243"/>
    </row>
    <row r="64" spans="1:12" ht="10.5" customHeight="1">
      <c r="A64" s="297" t="s">
        <v>2290</v>
      </c>
      <c r="B64" s="297" t="s">
        <v>35</v>
      </c>
      <c r="C64" s="297" t="s">
        <v>4063</v>
      </c>
      <c r="D64" s="297" t="s">
        <v>2150</v>
      </c>
      <c r="E64" s="297" t="s">
        <v>1301</v>
      </c>
      <c r="F64" s="297" t="s">
        <v>3060</v>
      </c>
      <c r="G64" s="297"/>
      <c r="H64" s="297" t="s">
        <v>3221</v>
      </c>
      <c r="I64" s="297" t="s">
        <v>3199</v>
      </c>
      <c r="J64" s="45" t="str">
        <f t="shared" si="0"/>
        <v>GoldGold Mining in Shandong (Laizhou) Limited Company</v>
      </c>
      <c r="K64" s="45" t="str">
        <f t="shared" si="1"/>
        <v>GoldGold Mining in Shandong (Laizhou) Limited Company</v>
      </c>
      <c r="L64" s="243"/>
    </row>
    <row r="65" spans="1:12" ht="10.5" customHeight="1">
      <c r="A65" s="297" t="s">
        <v>2290</v>
      </c>
      <c r="B65" s="297" t="s">
        <v>3238</v>
      </c>
      <c r="C65" s="297" t="s">
        <v>4178</v>
      </c>
      <c r="D65" s="297" t="s">
        <v>2150</v>
      </c>
      <c r="E65" s="297" t="s">
        <v>1300</v>
      </c>
      <c r="F65" s="297" t="s">
        <v>3060</v>
      </c>
      <c r="G65" s="297"/>
      <c r="H65" s="297" t="s">
        <v>3225</v>
      </c>
      <c r="I65" s="297" t="s">
        <v>3226</v>
      </c>
      <c r="J65" s="45" t="str">
        <f t="shared" si="0"/>
        <v>GoldGreat Wall Precious Metals Co,. LTD.</v>
      </c>
      <c r="K65" s="45" t="str">
        <f t="shared" si="1"/>
        <v>GoldGreat Wall Precious Metals Co,. LTD.</v>
      </c>
      <c r="L65" s="243"/>
    </row>
    <row r="66" spans="1:12" ht="10.5" customHeight="1">
      <c r="A66" s="297" t="s">
        <v>2290</v>
      </c>
      <c r="B66" s="297" t="s">
        <v>4178</v>
      </c>
      <c r="C66" s="297" t="s">
        <v>4178</v>
      </c>
      <c r="D66" s="297" t="s">
        <v>2150</v>
      </c>
      <c r="E66" s="297" t="s">
        <v>1300</v>
      </c>
      <c r="F66" s="297" t="s">
        <v>3060</v>
      </c>
      <c r="G66" s="297"/>
      <c r="H66" s="297" t="s">
        <v>3225</v>
      </c>
      <c r="I66" s="297" t="s">
        <v>3226</v>
      </c>
      <c r="J66" s="45" t="str">
        <f t="shared" si="0"/>
        <v>GoldGreat Wall Precious Metals Co., Ltd. of CBPM</v>
      </c>
      <c r="K66" s="45" t="str">
        <f t="shared" si="1"/>
        <v>GoldGreat Wall Precious Metals Co., Ltd. of CBPM</v>
      </c>
      <c r="L66" s="243"/>
    </row>
    <row r="67" spans="1:12" ht="10.5" customHeight="1">
      <c r="A67" s="297" t="s">
        <v>2290</v>
      </c>
      <c r="B67" s="297" t="s">
        <v>3271</v>
      </c>
      <c r="C67" s="297" t="s">
        <v>1239</v>
      </c>
      <c r="D67" s="297" t="s">
        <v>2150</v>
      </c>
      <c r="E67" s="297" t="s">
        <v>1240</v>
      </c>
      <c r="F67" s="297" t="s">
        <v>3060</v>
      </c>
      <c r="G67" s="297"/>
      <c r="H67" s="297" t="s">
        <v>3269</v>
      </c>
      <c r="I67" s="297" t="s">
        <v>3270</v>
      </c>
      <c r="J67" s="45" t="str">
        <f t="shared" si="0"/>
        <v>GoldGuangdong Gaoyao Co</v>
      </c>
      <c r="K67" s="45" t="str">
        <f t="shared" si="1"/>
        <v>GoldGuangdong Gaoyao Co</v>
      </c>
      <c r="L67" s="243"/>
    </row>
    <row r="68" spans="1:12" ht="10.5" customHeight="1">
      <c r="A68" s="297" t="s">
        <v>2290</v>
      </c>
      <c r="B68" s="297" t="s">
        <v>1239</v>
      </c>
      <c r="C68" s="297" t="s">
        <v>1239</v>
      </c>
      <c r="D68" s="297" t="s">
        <v>2150</v>
      </c>
      <c r="E68" s="297" t="s">
        <v>1240</v>
      </c>
      <c r="F68" s="297" t="s">
        <v>3060</v>
      </c>
      <c r="G68" s="297"/>
      <c r="H68" s="297" t="s">
        <v>3269</v>
      </c>
      <c r="I68" s="297" t="s">
        <v>3270</v>
      </c>
      <c r="J68" s="45" t="str">
        <f t="shared" ref="J68:J131" si="2">A68&amp;B68</f>
        <v>GoldGuangdong Jinding Gold Limited</v>
      </c>
      <c r="K68" s="45" t="str">
        <f t="shared" ref="K68:K131" si="3">A68&amp;B68</f>
        <v>GoldGuangdong Jinding Gold Limited</v>
      </c>
      <c r="L68" s="243"/>
    </row>
    <row r="69" spans="1:12" ht="10.5" customHeight="1">
      <c r="A69" s="297" t="s">
        <v>2290</v>
      </c>
      <c r="B69" s="297" t="s">
        <v>4559</v>
      </c>
      <c r="C69" s="297" t="s">
        <v>4559</v>
      </c>
      <c r="D69" s="297" t="s">
        <v>2207</v>
      </c>
      <c r="E69" s="297" t="s">
        <v>4560</v>
      </c>
      <c r="F69" s="297" t="s">
        <v>3060</v>
      </c>
      <c r="G69" s="297"/>
      <c r="H69" s="297" t="s">
        <v>4561</v>
      </c>
      <c r="I69" s="297" t="s">
        <v>4562</v>
      </c>
      <c r="J69" s="45" t="str">
        <f t="shared" si="2"/>
        <v>GoldGujarat Gold Centre</v>
      </c>
      <c r="K69" s="45" t="str">
        <f t="shared" si="3"/>
        <v>GoldGujarat Gold Centre</v>
      </c>
      <c r="L69" s="243"/>
    </row>
    <row r="70" spans="1:12" ht="10.5" customHeight="1">
      <c r="A70" s="297" t="s">
        <v>2290</v>
      </c>
      <c r="B70" s="297" t="s">
        <v>3118</v>
      </c>
      <c r="C70" s="297" t="s">
        <v>3118</v>
      </c>
      <c r="D70" s="297" t="s">
        <v>2150</v>
      </c>
      <c r="E70" s="297" t="s">
        <v>3119</v>
      </c>
      <c r="F70" s="297" t="s">
        <v>3060</v>
      </c>
      <c r="G70" s="297"/>
      <c r="H70" s="297" t="s">
        <v>3120</v>
      </c>
      <c r="I70" s="297" t="s">
        <v>3199</v>
      </c>
      <c r="J70" s="45" t="str">
        <f t="shared" si="2"/>
        <v>GoldGuoda Safina High-Tech Environmental Refinery Co., Ltd.</v>
      </c>
      <c r="K70" s="45" t="str">
        <f t="shared" si="3"/>
        <v>GoldGuoda Safina High-Tech Environmental Refinery Co., Ltd.</v>
      </c>
      <c r="L70" s="243"/>
    </row>
    <row r="71" spans="1:12" ht="10.5" customHeight="1">
      <c r="A71" s="297" t="s">
        <v>2290</v>
      </c>
      <c r="B71" s="297" t="s">
        <v>711</v>
      </c>
      <c r="C71" s="297" t="s">
        <v>711</v>
      </c>
      <c r="D71" s="297" t="s">
        <v>2150</v>
      </c>
      <c r="E71" s="297" t="s">
        <v>712</v>
      </c>
      <c r="F71" s="297" t="s">
        <v>3060</v>
      </c>
      <c r="G71" s="297"/>
      <c r="H71" s="297" t="s">
        <v>3123</v>
      </c>
      <c r="I71" s="297" t="s">
        <v>3124</v>
      </c>
      <c r="J71" s="45" t="str">
        <f t="shared" si="2"/>
        <v>GoldHangzhou Fuchunjiang Smelting Co., Ltd.</v>
      </c>
      <c r="K71" s="45" t="str">
        <f t="shared" si="3"/>
        <v>GoldHangzhou Fuchunjiang Smelting Co., Ltd.</v>
      </c>
      <c r="L71" s="243"/>
    </row>
    <row r="72" spans="1:12" ht="10.5" customHeight="1">
      <c r="A72" s="297" t="s">
        <v>2290</v>
      </c>
      <c r="B72" s="297" t="s">
        <v>1930</v>
      </c>
      <c r="C72" s="297" t="s">
        <v>1930</v>
      </c>
      <c r="D72" s="297" t="s">
        <v>2164</v>
      </c>
      <c r="E72" s="297" t="s">
        <v>1241</v>
      </c>
      <c r="F72" s="297" t="s">
        <v>3060</v>
      </c>
      <c r="G72" s="297"/>
      <c r="H72" s="297" t="s">
        <v>3065</v>
      </c>
      <c r="I72" s="297" t="s">
        <v>3066</v>
      </c>
      <c r="J72" s="45" t="str">
        <f t="shared" si="2"/>
        <v>GoldHeimerle + Meule GmbH</v>
      </c>
      <c r="K72" s="45" t="str">
        <f t="shared" si="3"/>
        <v>GoldHeimerle + Meule GmbH</v>
      </c>
      <c r="L72" s="243"/>
    </row>
    <row r="73" spans="1:12" ht="10.5" customHeight="1">
      <c r="A73" s="297" t="s">
        <v>2290</v>
      </c>
      <c r="B73" s="297" t="s">
        <v>3262</v>
      </c>
      <c r="C73" s="297" t="s">
        <v>2540</v>
      </c>
      <c r="D73" s="297" t="s">
        <v>2150</v>
      </c>
      <c r="E73" s="297" t="s">
        <v>1313</v>
      </c>
      <c r="F73" s="297" t="s">
        <v>3060</v>
      </c>
      <c r="G73" s="297"/>
      <c r="H73" s="297" t="s">
        <v>3261</v>
      </c>
      <c r="I73" s="297" t="s">
        <v>3159</v>
      </c>
      <c r="J73" s="45" t="str">
        <f t="shared" si="2"/>
        <v>GoldHenan Zhongyuan Gold Refinery Co., Ltd.</v>
      </c>
      <c r="K73" s="45" t="str">
        <f t="shared" si="3"/>
        <v>GoldHenan Zhongyuan Gold Refinery Co., Ltd.</v>
      </c>
      <c r="L73" s="243"/>
    </row>
    <row r="74" spans="1:12" ht="10.5" customHeight="1">
      <c r="A74" s="297" t="s">
        <v>2290</v>
      </c>
      <c r="B74" s="297" t="s">
        <v>3265</v>
      </c>
      <c r="C74" s="297" t="s">
        <v>2540</v>
      </c>
      <c r="D74" s="297" t="s">
        <v>2150</v>
      </c>
      <c r="E74" s="297" t="s">
        <v>1313</v>
      </c>
      <c r="F74" s="297" t="s">
        <v>3060</v>
      </c>
      <c r="G74" s="297"/>
      <c r="H74" s="297" t="s">
        <v>3261</v>
      </c>
      <c r="I74" s="297" t="s">
        <v>3159</v>
      </c>
      <c r="J74" s="45" t="str">
        <f t="shared" si="2"/>
        <v>GoldHenan Zhongyuan Gold Smelter of Zhongjin Gold Co. Ltd.</v>
      </c>
      <c r="K74" s="45" t="str">
        <f t="shared" si="3"/>
        <v>GoldHenan Zhongyuan Gold Smelter of Zhongjin Gold Co. Ltd.</v>
      </c>
      <c r="L74" s="243"/>
    </row>
    <row r="75" spans="1:12" ht="10.5" customHeight="1">
      <c r="A75" s="297" t="s">
        <v>2290</v>
      </c>
      <c r="B75" s="297" t="s">
        <v>36</v>
      </c>
      <c r="C75" s="297" t="s">
        <v>2540</v>
      </c>
      <c r="D75" s="297" t="s">
        <v>2150</v>
      </c>
      <c r="E75" s="297" t="s">
        <v>1313</v>
      </c>
      <c r="F75" s="297" t="s">
        <v>3060</v>
      </c>
      <c r="G75" s="297"/>
      <c r="H75" s="297" t="s">
        <v>3261</v>
      </c>
      <c r="I75" s="297" t="s">
        <v>3159</v>
      </c>
      <c r="J75" s="45" t="str">
        <f t="shared" si="2"/>
        <v>GoldHenan Zhongyuan Gold Smelter of Zhongjin Gold Corporation Limited</v>
      </c>
      <c r="K75" s="45" t="str">
        <f t="shared" si="3"/>
        <v>GoldHenan Zhongyuan Gold Smelter of Zhongjin Gold Corporation Limited</v>
      </c>
      <c r="L75" s="243"/>
    </row>
    <row r="76" spans="1:12" ht="10.5" customHeight="1">
      <c r="A76" s="297" t="s">
        <v>2290</v>
      </c>
      <c r="B76" s="297" t="s">
        <v>71</v>
      </c>
      <c r="C76" s="297" t="s">
        <v>71</v>
      </c>
      <c r="D76" s="297" t="s">
        <v>2150</v>
      </c>
      <c r="E76" s="297" t="s">
        <v>1242</v>
      </c>
      <c r="F76" s="297" t="s">
        <v>3060</v>
      </c>
      <c r="G76" s="297"/>
      <c r="H76" s="297" t="s">
        <v>3125</v>
      </c>
      <c r="I76" s="297" t="s">
        <v>3126</v>
      </c>
      <c r="J76" s="45" t="str">
        <f t="shared" si="2"/>
        <v>GoldHeraeus Ltd. Hong Kong</v>
      </c>
      <c r="K76" s="45" t="str">
        <f t="shared" si="3"/>
        <v>GoldHeraeus Ltd. Hong Kong</v>
      </c>
      <c r="L76" s="243"/>
    </row>
    <row r="77" spans="1:12" ht="10.5" customHeight="1">
      <c r="A77" s="297" t="s">
        <v>2290</v>
      </c>
      <c r="B77" s="297" t="s">
        <v>2418</v>
      </c>
      <c r="C77" s="297" t="s">
        <v>2418</v>
      </c>
      <c r="D77" s="297" t="s">
        <v>2164</v>
      </c>
      <c r="E77" s="297" t="s">
        <v>1243</v>
      </c>
      <c r="F77" s="297" t="s">
        <v>3060</v>
      </c>
      <c r="G77" s="297"/>
      <c r="H77" s="297" t="s">
        <v>3127</v>
      </c>
      <c r="I77" s="297" t="s">
        <v>3128</v>
      </c>
      <c r="J77" s="45" t="str">
        <f t="shared" si="2"/>
        <v>GoldHeraeus Precious Metals GmbH &amp; Co. KG</v>
      </c>
      <c r="K77" s="45" t="str">
        <f t="shared" si="3"/>
        <v>GoldHeraeus Precious Metals GmbH &amp; Co. KG</v>
      </c>
      <c r="L77" s="243"/>
    </row>
    <row r="78" spans="1:12" ht="10.5" customHeight="1">
      <c r="A78" s="297" t="s">
        <v>2290</v>
      </c>
      <c r="B78" s="297" t="s">
        <v>4171</v>
      </c>
      <c r="C78" s="297" t="s">
        <v>4171</v>
      </c>
      <c r="D78" s="297" t="s">
        <v>2150</v>
      </c>
      <c r="E78" s="297" t="s">
        <v>1244</v>
      </c>
      <c r="F78" s="297" t="s">
        <v>3060</v>
      </c>
      <c r="G78" s="297"/>
      <c r="H78" s="297" t="s">
        <v>4027</v>
      </c>
      <c r="I78" s="297" t="s">
        <v>3121</v>
      </c>
      <c r="J78" s="45" t="str">
        <f t="shared" si="2"/>
        <v>GoldHunan Chenzhou Mining Co., Ltd.</v>
      </c>
      <c r="K78" s="45" t="str">
        <f t="shared" si="3"/>
        <v>GoldHunan Chenzhou Mining Co., Ltd.</v>
      </c>
      <c r="L78" s="243"/>
    </row>
    <row r="79" spans="1:12" ht="10.5" customHeight="1">
      <c r="A79" s="297" t="s">
        <v>2290</v>
      </c>
      <c r="B79" s="297" t="s">
        <v>2621</v>
      </c>
      <c r="C79" s="297" t="s">
        <v>4171</v>
      </c>
      <c r="D79" s="297" t="s">
        <v>2150</v>
      </c>
      <c r="E79" s="297" t="s">
        <v>1244</v>
      </c>
      <c r="F79" s="297" t="s">
        <v>3060</v>
      </c>
      <c r="G79" s="297"/>
      <c r="H79" s="297" t="s">
        <v>4027</v>
      </c>
      <c r="I79" s="297" t="s">
        <v>3121</v>
      </c>
      <c r="J79" s="45" t="str">
        <f t="shared" si="2"/>
        <v>GoldHunan Chenzhou Mining Group Co., Ltd.</v>
      </c>
      <c r="K79" s="45" t="str">
        <f t="shared" si="3"/>
        <v>GoldHunan Chenzhou Mining Group Co., Ltd.</v>
      </c>
      <c r="L79" s="243"/>
    </row>
    <row r="80" spans="1:12" ht="10.5" customHeight="1">
      <c r="A80" s="297" t="s">
        <v>2290</v>
      </c>
      <c r="B80" s="297" t="s">
        <v>3130</v>
      </c>
      <c r="C80" s="297" t="s">
        <v>4171</v>
      </c>
      <c r="D80" s="297" t="s">
        <v>2150</v>
      </c>
      <c r="E80" s="297" t="s">
        <v>1244</v>
      </c>
      <c r="F80" s="297" t="s">
        <v>3060</v>
      </c>
      <c r="G80" s="297"/>
      <c r="H80" s="297" t="s">
        <v>4027</v>
      </c>
      <c r="I80" s="297" t="s">
        <v>3121</v>
      </c>
      <c r="J80" s="45" t="str">
        <f t="shared" si="2"/>
        <v>GoldHunan Chenzhou Mining Industry Co. Ltd.</v>
      </c>
      <c r="K80" s="45" t="str">
        <f t="shared" si="3"/>
        <v>GoldHunan Chenzhou Mining Industry Co. Ltd.</v>
      </c>
      <c r="L80" s="243"/>
    </row>
    <row r="81" spans="1:12" ht="10.5" customHeight="1">
      <c r="A81" s="297" t="s">
        <v>2290</v>
      </c>
      <c r="B81" s="297" t="s">
        <v>4989</v>
      </c>
      <c r="C81" s="297" t="s">
        <v>4989</v>
      </c>
      <c r="D81" s="297" t="s">
        <v>4876</v>
      </c>
      <c r="E81" s="297" t="s">
        <v>1245</v>
      </c>
      <c r="F81" s="297" t="s">
        <v>3060</v>
      </c>
      <c r="G81" s="297"/>
      <c r="H81" s="297" t="s">
        <v>3131</v>
      </c>
      <c r="I81" s="297" t="s">
        <v>3107</v>
      </c>
      <c r="J81" s="45" t="str">
        <f t="shared" si="2"/>
        <v>GoldHwaSeong CJ Co., Ltd.</v>
      </c>
      <c r="K81" s="45" t="str">
        <f t="shared" si="3"/>
        <v>GoldHwaSeong CJ Co., Ltd.</v>
      </c>
      <c r="L81" s="243"/>
    </row>
    <row r="82" spans="1:12" ht="10.5" customHeight="1">
      <c r="A82" s="297" t="s">
        <v>2290</v>
      </c>
      <c r="B82" s="297" t="s">
        <v>4563</v>
      </c>
      <c r="C82" s="297" t="s">
        <v>4563</v>
      </c>
      <c r="D82" s="297" t="s">
        <v>2150</v>
      </c>
      <c r="E82" s="297" t="s">
        <v>1246</v>
      </c>
      <c r="F82" s="297" t="s">
        <v>3060</v>
      </c>
      <c r="G82" s="297"/>
      <c r="H82" s="297" t="s">
        <v>3132</v>
      </c>
      <c r="I82" s="297" t="s">
        <v>3133</v>
      </c>
      <c r="J82" s="45" t="str">
        <f t="shared" si="2"/>
        <v>GoldInner Mongolia Qiankun Gold and Silver Refinery Share Co., Ltd.</v>
      </c>
      <c r="K82" s="45" t="str">
        <f t="shared" si="3"/>
        <v>GoldInner Mongolia Qiankun Gold and Silver Refinery Share Co., Ltd.</v>
      </c>
      <c r="L82" s="243"/>
    </row>
    <row r="83" spans="1:12" ht="10.5" customHeight="1">
      <c r="A83" s="297" t="s">
        <v>2290</v>
      </c>
      <c r="B83" s="297" t="s">
        <v>2419</v>
      </c>
      <c r="C83" s="297" t="s">
        <v>2419</v>
      </c>
      <c r="D83" s="297" t="s">
        <v>2217</v>
      </c>
      <c r="E83" s="297" t="s">
        <v>1247</v>
      </c>
      <c r="F83" s="297" t="s">
        <v>3060</v>
      </c>
      <c r="G83" s="297"/>
      <c r="H83" s="297" t="s">
        <v>3134</v>
      </c>
      <c r="I83" s="297" t="s">
        <v>3114</v>
      </c>
      <c r="J83" s="45" t="str">
        <f t="shared" si="2"/>
        <v>GoldIshifuku Metal Industry Co., Ltd.</v>
      </c>
      <c r="K83" s="45" t="str">
        <f t="shared" si="3"/>
        <v>GoldIshifuku Metal Industry Co., Ltd.</v>
      </c>
      <c r="L83" s="243"/>
    </row>
    <row r="84" spans="1:12" ht="10.5" customHeight="1">
      <c r="A84" s="297" t="s">
        <v>2290</v>
      </c>
      <c r="B84" s="297" t="s">
        <v>2426</v>
      </c>
      <c r="C84" s="297" t="s">
        <v>2426</v>
      </c>
      <c r="D84" s="297" t="s">
        <v>1724</v>
      </c>
      <c r="E84" s="297" t="s">
        <v>1248</v>
      </c>
      <c r="F84" s="297" t="s">
        <v>3060</v>
      </c>
      <c r="G84" s="297"/>
      <c r="H84" s="297" t="s">
        <v>3135</v>
      </c>
      <c r="I84" s="297" t="s">
        <v>3079</v>
      </c>
      <c r="J84" s="45" t="str">
        <f t="shared" si="2"/>
        <v>GoldIstanbul Gold Refinery</v>
      </c>
      <c r="K84" s="45" t="str">
        <f t="shared" si="3"/>
        <v>GoldIstanbul Gold Refinery</v>
      </c>
      <c r="L84" s="243"/>
    </row>
    <row r="85" spans="1:12" ht="10.5" customHeight="1">
      <c r="A85" s="297" t="s">
        <v>2290</v>
      </c>
      <c r="B85" s="297" t="s">
        <v>1761</v>
      </c>
      <c r="C85" s="297" t="s">
        <v>1761</v>
      </c>
      <c r="D85" s="297" t="s">
        <v>2217</v>
      </c>
      <c r="E85" s="297" t="s">
        <v>1249</v>
      </c>
      <c r="F85" s="297" t="s">
        <v>3060</v>
      </c>
      <c r="G85" s="297"/>
      <c r="H85" s="297" t="s">
        <v>3136</v>
      </c>
      <c r="I85" s="297" t="s">
        <v>3137</v>
      </c>
      <c r="J85" s="45" t="str">
        <f t="shared" si="2"/>
        <v>GoldJapan Mint</v>
      </c>
      <c r="K85" s="45" t="str">
        <f t="shared" si="3"/>
        <v>GoldJapan Mint</v>
      </c>
      <c r="L85" s="243"/>
    </row>
    <row r="86" spans="1:12" ht="10.5" customHeight="1">
      <c r="A86" s="297" t="s">
        <v>2290</v>
      </c>
      <c r="B86" s="297" t="s">
        <v>3140</v>
      </c>
      <c r="C86" s="297" t="s">
        <v>4564</v>
      </c>
      <c r="D86" s="297" t="s">
        <v>2150</v>
      </c>
      <c r="E86" s="297" t="s">
        <v>1250</v>
      </c>
      <c r="F86" s="297" t="s">
        <v>3060</v>
      </c>
      <c r="G86" s="297"/>
      <c r="H86" s="297" t="s">
        <v>3138</v>
      </c>
      <c r="I86" s="297" t="s">
        <v>3139</v>
      </c>
      <c r="J86" s="45" t="str">
        <f t="shared" si="2"/>
        <v>GoldJCC</v>
      </c>
      <c r="K86" s="45" t="str">
        <f t="shared" si="3"/>
        <v>GoldJCC</v>
      </c>
      <c r="L86" s="243"/>
    </row>
    <row r="87" spans="1:12" ht="10.5" customHeight="1">
      <c r="A87" s="297" t="s">
        <v>2290</v>
      </c>
      <c r="B87" s="297" t="s">
        <v>4564</v>
      </c>
      <c r="C87" s="297" t="s">
        <v>4564</v>
      </c>
      <c r="D87" s="297" t="s">
        <v>2150</v>
      </c>
      <c r="E87" s="297" t="s">
        <v>1250</v>
      </c>
      <c r="F87" s="297" t="s">
        <v>3060</v>
      </c>
      <c r="G87" s="297"/>
      <c r="H87" s="297" t="s">
        <v>3138</v>
      </c>
      <c r="I87" s="297" t="s">
        <v>3139</v>
      </c>
      <c r="J87" s="45" t="str">
        <f t="shared" si="2"/>
        <v>GoldJiangxi Copper Co., Ltd.</v>
      </c>
      <c r="K87" s="45" t="str">
        <f t="shared" si="3"/>
        <v>GoldJiangxi Copper Co., Ltd.</v>
      </c>
      <c r="L87" s="243"/>
    </row>
    <row r="88" spans="1:12" ht="10.5" customHeight="1">
      <c r="A88" s="297" t="s">
        <v>2290</v>
      </c>
      <c r="B88" s="297" t="s">
        <v>1904</v>
      </c>
      <c r="C88" s="297" t="s">
        <v>4546</v>
      </c>
      <c r="D88" s="297" t="s">
        <v>2146</v>
      </c>
      <c r="E88" s="297" t="s">
        <v>1252</v>
      </c>
      <c r="F88" s="297" t="s">
        <v>3060</v>
      </c>
      <c r="G88" s="297"/>
      <c r="H88" s="297" t="s">
        <v>3144</v>
      </c>
      <c r="I88" s="297" t="s">
        <v>3145</v>
      </c>
      <c r="J88" s="45" t="str">
        <f t="shared" si="2"/>
        <v>GoldJohnson Matthey Canada</v>
      </c>
      <c r="K88" s="45" t="str">
        <f t="shared" si="3"/>
        <v>GoldJohnson Matthey Canada</v>
      </c>
      <c r="L88" s="243"/>
    </row>
    <row r="89" spans="1:12" ht="10.5" customHeight="1">
      <c r="A89" s="297" t="s">
        <v>2290</v>
      </c>
      <c r="B89" s="297" t="s">
        <v>4044</v>
      </c>
      <c r="C89" s="297" t="s">
        <v>4152</v>
      </c>
      <c r="D89" s="297" t="s">
        <v>4880</v>
      </c>
      <c r="E89" s="297" t="s">
        <v>1251</v>
      </c>
      <c r="F89" s="297" t="s">
        <v>3060</v>
      </c>
      <c r="G89" s="297"/>
      <c r="H89" s="297" t="s">
        <v>3141</v>
      </c>
      <c r="I89" s="297" t="s">
        <v>3142</v>
      </c>
      <c r="J89" s="45" t="str">
        <f t="shared" si="2"/>
        <v>GoldJohnson Matthey Inc.</v>
      </c>
      <c r="K89" s="45" t="str">
        <f t="shared" si="3"/>
        <v>GoldJohnson Matthey Inc.</v>
      </c>
      <c r="L89" s="243"/>
    </row>
    <row r="90" spans="1:12">
      <c r="A90" s="297" t="s">
        <v>2290</v>
      </c>
      <c r="B90" s="297" t="s">
        <v>3143</v>
      </c>
      <c r="C90" s="297" t="s">
        <v>4152</v>
      </c>
      <c r="D90" s="297" t="s">
        <v>4880</v>
      </c>
      <c r="E90" s="297" t="s">
        <v>1251</v>
      </c>
      <c r="F90" s="297" t="s">
        <v>3060</v>
      </c>
      <c r="G90" s="297"/>
      <c r="H90" s="297" t="s">
        <v>3141</v>
      </c>
      <c r="I90" s="297" t="s">
        <v>3142</v>
      </c>
      <c r="J90" s="45" t="str">
        <f t="shared" si="2"/>
        <v>GoldJohnson Matthey Inc. (USA)</v>
      </c>
      <c r="K90" s="45" t="str">
        <f t="shared" si="3"/>
        <v>GoldJohnson Matthey Inc. (USA)</v>
      </c>
      <c r="L90" s="243"/>
    </row>
    <row r="91" spans="1:12" ht="10.5" customHeight="1">
      <c r="A91" s="297" t="s">
        <v>2290</v>
      </c>
      <c r="B91" s="297" t="s">
        <v>4045</v>
      </c>
      <c r="C91" s="297" t="s">
        <v>4546</v>
      </c>
      <c r="D91" s="297" t="s">
        <v>2146</v>
      </c>
      <c r="E91" s="297" t="s">
        <v>1252</v>
      </c>
      <c r="F91" s="297" t="s">
        <v>3060</v>
      </c>
      <c r="G91" s="297"/>
      <c r="H91" s="297" t="s">
        <v>3144</v>
      </c>
      <c r="I91" s="297" t="s">
        <v>3145</v>
      </c>
      <c r="J91" s="45" t="str">
        <f t="shared" si="2"/>
        <v>GoldJohnson Matthey Limited</v>
      </c>
      <c r="K91" s="45" t="str">
        <f t="shared" si="3"/>
        <v>GoldJohnson Matthey Limited</v>
      </c>
      <c r="L91" s="243"/>
    </row>
    <row r="92" spans="1:12" ht="10.5" customHeight="1">
      <c r="A92" s="297" t="s">
        <v>2290</v>
      </c>
      <c r="B92" s="297" t="s">
        <v>1762</v>
      </c>
      <c r="C92" s="297" t="s">
        <v>1762</v>
      </c>
      <c r="D92" s="297" t="s">
        <v>1690</v>
      </c>
      <c r="E92" s="297" t="s">
        <v>1253</v>
      </c>
      <c r="F92" s="297" t="s">
        <v>3060</v>
      </c>
      <c r="G92" s="297"/>
      <c r="H92" s="297" t="s">
        <v>3146</v>
      </c>
      <c r="I92" s="297" t="s">
        <v>3147</v>
      </c>
      <c r="J92" s="45" t="str">
        <f t="shared" si="2"/>
        <v>GoldJSC Ekaterinburg Non-Ferrous Metal Processing Plant</v>
      </c>
      <c r="K92" s="45" t="str">
        <f t="shared" si="3"/>
        <v>GoldJSC Ekaterinburg Non-Ferrous Metal Processing Plant</v>
      </c>
      <c r="L92" s="243"/>
    </row>
    <row r="93" spans="1:12" ht="10.5" customHeight="1">
      <c r="A93" s="297" t="s">
        <v>2290</v>
      </c>
      <c r="B93" s="297" t="s">
        <v>2677</v>
      </c>
      <c r="C93" s="297" t="s">
        <v>2677</v>
      </c>
      <c r="D93" s="297" t="s">
        <v>1690</v>
      </c>
      <c r="E93" s="297" t="s">
        <v>1254</v>
      </c>
      <c r="F93" s="297" t="s">
        <v>3060</v>
      </c>
      <c r="G93" s="297"/>
      <c r="H93" s="297" t="s">
        <v>3146</v>
      </c>
      <c r="I93" s="297" t="s">
        <v>3147</v>
      </c>
      <c r="J93" s="45" t="str">
        <f t="shared" si="2"/>
        <v>GoldJSC Uralelectromed</v>
      </c>
      <c r="K93" s="45" t="str">
        <f t="shared" si="3"/>
        <v>GoldJSC Uralelectromed</v>
      </c>
      <c r="L93" s="243"/>
    </row>
    <row r="94" spans="1:12" ht="10.5" customHeight="1">
      <c r="A94" s="297" t="s">
        <v>2290</v>
      </c>
      <c r="B94" s="297" t="s">
        <v>72</v>
      </c>
      <c r="C94" s="297" t="s">
        <v>72</v>
      </c>
      <c r="D94" s="297" t="s">
        <v>2217</v>
      </c>
      <c r="E94" s="297" t="s">
        <v>1255</v>
      </c>
      <c r="F94" s="297" t="s">
        <v>3060</v>
      </c>
      <c r="G94" s="297"/>
      <c r="H94" s="297" t="s">
        <v>4708</v>
      </c>
      <c r="I94" s="297" t="s">
        <v>4708</v>
      </c>
      <c r="J94" s="45" t="str">
        <f t="shared" si="2"/>
        <v>GoldJX Nippon Mining &amp; Metals Co., Ltd.</v>
      </c>
      <c r="K94" s="45" t="str">
        <f t="shared" si="3"/>
        <v>GoldJX Nippon Mining &amp; Metals Co., Ltd.</v>
      </c>
      <c r="L94" s="243"/>
    </row>
    <row r="95" spans="1:12" ht="10.5" customHeight="1">
      <c r="A95" s="297" t="s">
        <v>2290</v>
      </c>
      <c r="B95" s="297" t="s">
        <v>3291</v>
      </c>
      <c r="C95" s="297" t="s">
        <v>3291</v>
      </c>
      <c r="D95" s="297" t="s">
        <v>2117</v>
      </c>
      <c r="E95" s="297" t="s">
        <v>3292</v>
      </c>
      <c r="F95" s="297" t="s">
        <v>3060</v>
      </c>
      <c r="G95" s="297"/>
      <c r="H95" s="297" t="s">
        <v>3288</v>
      </c>
      <c r="I95" s="297" t="s">
        <v>3288</v>
      </c>
      <c r="J95" s="45" t="str">
        <f t="shared" si="2"/>
        <v>GoldKaloti Precious Metals</v>
      </c>
      <c r="K95" s="45" t="str">
        <f t="shared" si="3"/>
        <v>GoldKaloti Precious Metals</v>
      </c>
      <c r="L95" s="243"/>
    </row>
    <row r="96" spans="1:12" ht="10.5" customHeight="1">
      <c r="A96" s="297" t="s">
        <v>2290</v>
      </c>
      <c r="B96" s="297" t="s">
        <v>4132</v>
      </c>
      <c r="C96" s="297" t="s">
        <v>4132</v>
      </c>
      <c r="D96" s="297" t="s">
        <v>2218</v>
      </c>
      <c r="E96" s="297" t="s">
        <v>4133</v>
      </c>
      <c r="F96" s="297" t="s">
        <v>3060</v>
      </c>
      <c r="G96" s="297"/>
      <c r="H96" s="297" t="s">
        <v>4135</v>
      </c>
      <c r="I96" s="297" t="s">
        <v>4134</v>
      </c>
      <c r="J96" s="45" t="str">
        <f t="shared" si="2"/>
        <v>GoldKazakhmys Smelting LLC</v>
      </c>
      <c r="K96" s="45" t="str">
        <f t="shared" si="3"/>
        <v>GoldKazakhmys Smelting LLC</v>
      </c>
      <c r="L96" s="243"/>
    </row>
    <row r="97" spans="1:12" ht="10.5" customHeight="1">
      <c r="A97" s="297" t="s">
        <v>2290</v>
      </c>
      <c r="B97" s="297" t="s">
        <v>3148</v>
      </c>
      <c r="C97" s="297" t="s">
        <v>3148</v>
      </c>
      <c r="D97" s="297" t="s">
        <v>2218</v>
      </c>
      <c r="E97" s="297" t="s">
        <v>1256</v>
      </c>
      <c r="F97" s="297" t="s">
        <v>3060</v>
      </c>
      <c r="G97" s="297"/>
      <c r="H97" s="297" t="s">
        <v>3149</v>
      </c>
      <c r="I97" s="297" t="s">
        <v>3334</v>
      </c>
      <c r="J97" s="45" t="str">
        <f t="shared" si="2"/>
        <v>GoldKazzinc</v>
      </c>
      <c r="K97" s="45" t="str">
        <f t="shared" si="3"/>
        <v>GoldKazzinc</v>
      </c>
      <c r="L97" s="243"/>
    </row>
    <row r="98" spans="1:12" ht="10.5" customHeight="1">
      <c r="A98" s="297" t="s">
        <v>2290</v>
      </c>
      <c r="B98" s="297" t="s">
        <v>1257</v>
      </c>
      <c r="C98" s="297" t="s">
        <v>1257</v>
      </c>
      <c r="D98" s="297" t="s">
        <v>4880</v>
      </c>
      <c r="E98" s="297" t="s">
        <v>1258</v>
      </c>
      <c r="F98" s="297" t="s">
        <v>3060</v>
      </c>
      <c r="G98" s="297"/>
      <c r="H98" s="297" t="s">
        <v>3150</v>
      </c>
      <c r="I98" s="297" t="s">
        <v>3142</v>
      </c>
      <c r="J98" s="45" t="str">
        <f t="shared" si="2"/>
        <v>GoldKennecott Utah Copper LLC</v>
      </c>
      <c r="K98" s="45" t="str">
        <f t="shared" si="3"/>
        <v>GoldKennecott Utah Copper LLC</v>
      </c>
      <c r="L98" s="243"/>
    </row>
    <row r="99" spans="1:12" ht="10.5" customHeight="1">
      <c r="A99" s="297" t="s">
        <v>2290</v>
      </c>
      <c r="B99" s="297" t="s">
        <v>2640</v>
      </c>
      <c r="C99" s="297" t="s">
        <v>2640</v>
      </c>
      <c r="D99" s="297" t="s">
        <v>1682</v>
      </c>
      <c r="E99" s="297" t="s">
        <v>2641</v>
      </c>
      <c r="F99" s="297" t="s">
        <v>3060</v>
      </c>
      <c r="G99" s="297"/>
      <c r="H99" s="297" t="s">
        <v>3280</v>
      </c>
      <c r="I99" s="297" t="s">
        <v>3281</v>
      </c>
      <c r="J99" s="45" t="str">
        <f t="shared" si="2"/>
        <v>GoldKGHM Polska Miedź Spółka Akcyjna</v>
      </c>
      <c r="K99" s="45" t="str">
        <f t="shared" si="3"/>
        <v>GoldKGHM Polska Miedź Spółka Akcyjna</v>
      </c>
      <c r="L99" s="243"/>
    </row>
    <row r="100" spans="1:12" ht="10.5" customHeight="1">
      <c r="A100" s="297" t="s">
        <v>2290</v>
      </c>
      <c r="B100" s="297" t="s">
        <v>4047</v>
      </c>
      <c r="C100" s="297" t="s">
        <v>4047</v>
      </c>
      <c r="D100" s="297" t="s">
        <v>2217</v>
      </c>
      <c r="E100" s="297" t="s">
        <v>1259</v>
      </c>
      <c r="F100" s="297" t="s">
        <v>3060</v>
      </c>
      <c r="G100" s="297"/>
      <c r="H100" s="297" t="s">
        <v>3151</v>
      </c>
      <c r="I100" s="297" t="s">
        <v>3114</v>
      </c>
      <c r="J100" s="45" t="str">
        <f t="shared" si="2"/>
        <v>GoldKojima Chemicals Co., Ltd.</v>
      </c>
      <c r="K100" s="45" t="str">
        <f t="shared" si="3"/>
        <v>GoldKojima Chemicals Co., Ltd.</v>
      </c>
      <c r="L100" s="243"/>
    </row>
    <row r="101" spans="1:12" ht="10.5" customHeight="1">
      <c r="A101" s="297" t="s">
        <v>2290</v>
      </c>
      <c r="B101" s="297" t="s">
        <v>3152</v>
      </c>
      <c r="C101" s="297" t="s">
        <v>4047</v>
      </c>
      <c r="D101" s="297" t="s">
        <v>2217</v>
      </c>
      <c r="E101" s="297" t="s">
        <v>1259</v>
      </c>
      <c r="F101" s="297" t="s">
        <v>3060</v>
      </c>
      <c r="G101" s="297"/>
      <c r="H101" s="297" t="s">
        <v>3151</v>
      </c>
      <c r="I101" s="297" t="s">
        <v>3114</v>
      </c>
      <c r="J101" s="45" t="str">
        <f t="shared" si="2"/>
        <v>GoldKojima Kagaku Yakuhin Co., Ltd</v>
      </c>
      <c r="K101" s="45" t="str">
        <f t="shared" si="3"/>
        <v>GoldKojima Kagaku Yakuhin Co., Ltd</v>
      </c>
      <c r="L101" s="243"/>
    </row>
    <row r="102" spans="1:12" ht="10.5" customHeight="1">
      <c r="A102" s="297" t="s">
        <v>2290</v>
      </c>
      <c r="B102" s="297" t="s">
        <v>4180</v>
      </c>
      <c r="C102" s="297" t="s">
        <v>2640</v>
      </c>
      <c r="D102" s="297" t="s">
        <v>1682</v>
      </c>
      <c r="E102" s="297" t="s">
        <v>2641</v>
      </c>
      <c r="F102" s="297" t="s">
        <v>3060</v>
      </c>
      <c r="G102" s="297"/>
      <c r="H102" s="297" t="s">
        <v>3280</v>
      </c>
      <c r="I102" s="297" t="s">
        <v>3281</v>
      </c>
      <c r="J102" s="45" t="str">
        <f t="shared" si="2"/>
        <v>GoldKombinat Gorniczo Hutniczy Miedz Polska Miedz S.A.</v>
      </c>
      <c r="K102" s="45" t="str">
        <f t="shared" si="3"/>
        <v>GoldKombinat Gorniczo Hutniczy Miedz Polska Miedz S.A.</v>
      </c>
      <c r="L102" s="243"/>
    </row>
    <row r="103" spans="1:12" ht="10.5" customHeight="1">
      <c r="A103" s="297" t="s">
        <v>2290</v>
      </c>
      <c r="B103" s="297" t="s">
        <v>4567</v>
      </c>
      <c r="C103" s="297" t="s">
        <v>4567</v>
      </c>
      <c r="D103" s="297" t="s">
        <v>4876</v>
      </c>
      <c r="E103" s="297" t="s">
        <v>3299</v>
      </c>
      <c r="F103" s="297" t="s">
        <v>3060</v>
      </c>
      <c r="G103" s="297"/>
      <c r="H103" s="297" t="s">
        <v>3300</v>
      </c>
      <c r="I103" s="297" t="s">
        <v>3153</v>
      </c>
      <c r="J103" s="45" t="str">
        <f t="shared" si="2"/>
        <v>GoldKorea Zinc Co., Ltd.</v>
      </c>
      <c r="K103" s="45" t="str">
        <f t="shared" si="3"/>
        <v>GoldKorea Zinc Co., Ltd.</v>
      </c>
      <c r="L103" s="243"/>
    </row>
    <row r="104" spans="1:12" ht="10.5" customHeight="1">
      <c r="A104" s="297" t="s">
        <v>2290</v>
      </c>
      <c r="B104" s="297" t="s">
        <v>1485</v>
      </c>
      <c r="C104" s="297" t="s">
        <v>1485</v>
      </c>
      <c r="D104" s="297" t="s">
        <v>2220</v>
      </c>
      <c r="E104" s="297" t="s">
        <v>1260</v>
      </c>
      <c r="F104" s="297" t="s">
        <v>3060</v>
      </c>
      <c r="G104" s="297"/>
      <c r="H104" s="297" t="s">
        <v>3154</v>
      </c>
      <c r="I104" s="297" t="s">
        <v>3155</v>
      </c>
      <c r="J104" s="45" t="str">
        <f t="shared" si="2"/>
        <v>GoldKyrgyzaltyn JSC</v>
      </c>
      <c r="K104" s="45" t="str">
        <f t="shared" si="3"/>
        <v>GoldKyrgyzaltyn JSC</v>
      </c>
      <c r="L104" s="243"/>
    </row>
    <row r="105" spans="1:12" ht="10.5" customHeight="1">
      <c r="A105" s="297" t="s">
        <v>2290</v>
      </c>
      <c r="B105" s="297" t="s">
        <v>4181</v>
      </c>
      <c r="C105" s="297" t="s">
        <v>1758</v>
      </c>
      <c r="D105" s="297" t="s">
        <v>2243</v>
      </c>
      <c r="E105" s="297" t="s">
        <v>1225</v>
      </c>
      <c r="F105" s="297" t="s">
        <v>3060</v>
      </c>
      <c r="G105" s="297"/>
      <c r="H105" s="297" t="s">
        <v>3087</v>
      </c>
      <c r="I105" s="297" t="s">
        <v>3088</v>
      </c>
      <c r="J105" s="45" t="str">
        <f t="shared" si="2"/>
        <v>GoldLa Caridad</v>
      </c>
      <c r="K105" s="45" t="str">
        <f t="shared" si="3"/>
        <v>GoldLa Caridad</v>
      </c>
      <c r="L105" s="243"/>
    </row>
    <row r="106" spans="1:12" ht="10.5" customHeight="1">
      <c r="A106" s="297" t="s">
        <v>2290</v>
      </c>
      <c r="B106" s="297" t="s">
        <v>37</v>
      </c>
      <c r="C106" s="297" t="s">
        <v>4063</v>
      </c>
      <c r="D106" s="297" t="s">
        <v>2150</v>
      </c>
      <c r="E106" s="297" t="s">
        <v>1301</v>
      </c>
      <c r="F106" s="297" t="s">
        <v>3060</v>
      </c>
      <c r="G106" s="297"/>
      <c r="H106" s="297" t="s">
        <v>3221</v>
      </c>
      <c r="I106" s="297" t="s">
        <v>3199</v>
      </c>
      <c r="J106" s="45" t="str">
        <f t="shared" si="2"/>
        <v>GoldLAIZHOU SHANDONG</v>
      </c>
      <c r="K106" s="45" t="str">
        <f t="shared" si="3"/>
        <v>GoldLAIZHOU SHANDONG</v>
      </c>
      <c r="L106" s="243"/>
    </row>
    <row r="107" spans="1:12" ht="10.5" customHeight="1">
      <c r="A107" s="297" t="s">
        <v>2290</v>
      </c>
      <c r="B107" s="297" t="s">
        <v>4568</v>
      </c>
      <c r="C107" s="297" t="s">
        <v>4568</v>
      </c>
      <c r="D107" s="297" t="s">
        <v>1692</v>
      </c>
      <c r="E107" s="297" t="s">
        <v>1261</v>
      </c>
      <c r="F107" s="297" t="s">
        <v>3060</v>
      </c>
      <c r="G107" s="297"/>
      <c r="H107" s="297" t="s">
        <v>3156</v>
      </c>
      <c r="I107" s="297" t="s">
        <v>3157</v>
      </c>
      <c r="J107" s="45" t="str">
        <f t="shared" si="2"/>
        <v>GoldL'azurde Company For Jewelry</v>
      </c>
      <c r="K107" s="45" t="str">
        <f t="shared" si="3"/>
        <v>GoldL'azurde Company For Jewelry</v>
      </c>
      <c r="L107" s="243"/>
    </row>
    <row r="108" spans="1:12" ht="10.5" customHeight="1">
      <c r="A108" s="297" t="s">
        <v>2290</v>
      </c>
      <c r="B108" s="297" t="s">
        <v>4898</v>
      </c>
      <c r="C108" s="297" t="s">
        <v>4569</v>
      </c>
      <c r="D108" s="297" t="s">
        <v>2150</v>
      </c>
      <c r="E108" s="297" t="s">
        <v>2642</v>
      </c>
      <c r="F108" s="297" t="s">
        <v>3060</v>
      </c>
      <c r="G108" s="297"/>
      <c r="H108" s="297" t="s">
        <v>3158</v>
      </c>
      <c r="I108" s="297" t="s">
        <v>3159</v>
      </c>
      <c r="J108" s="45" t="str">
        <f t="shared" si="2"/>
        <v>GoldLinBao Gold Mining</v>
      </c>
      <c r="K108" s="45" t="str">
        <f t="shared" si="3"/>
        <v>GoldLinBao Gold Mining</v>
      </c>
      <c r="L108" s="243"/>
    </row>
    <row r="109" spans="1:12" ht="10.5" customHeight="1">
      <c r="A109" s="297" t="s">
        <v>2290</v>
      </c>
      <c r="B109" s="297" t="s">
        <v>4569</v>
      </c>
      <c r="C109" s="297" t="s">
        <v>4569</v>
      </c>
      <c r="D109" s="297" t="s">
        <v>2150</v>
      </c>
      <c r="E109" s="297" t="s">
        <v>2642</v>
      </c>
      <c r="F109" s="297" t="s">
        <v>3060</v>
      </c>
      <c r="G109" s="297"/>
      <c r="H109" s="297" t="s">
        <v>3158</v>
      </c>
      <c r="I109" s="297" t="s">
        <v>3159</v>
      </c>
      <c r="J109" s="45" t="str">
        <f t="shared" si="2"/>
        <v>GoldLingbao Gold Co., Ltd.</v>
      </c>
      <c r="K109" s="45" t="str">
        <f t="shared" si="3"/>
        <v>GoldLingbao Gold Co., Ltd.</v>
      </c>
      <c r="L109" s="243"/>
    </row>
    <row r="110" spans="1:12" ht="10.5" customHeight="1">
      <c r="A110" s="297" t="s">
        <v>2290</v>
      </c>
      <c r="B110" s="297" t="s">
        <v>4048</v>
      </c>
      <c r="C110" s="297" t="s">
        <v>4048</v>
      </c>
      <c r="D110" s="297" t="s">
        <v>2150</v>
      </c>
      <c r="E110" s="297" t="s">
        <v>1262</v>
      </c>
      <c r="F110" s="297" t="s">
        <v>3060</v>
      </c>
      <c r="G110" s="297"/>
      <c r="H110" s="297" t="s">
        <v>3158</v>
      </c>
      <c r="I110" s="297" t="s">
        <v>3159</v>
      </c>
      <c r="J110" s="45" t="str">
        <f t="shared" si="2"/>
        <v>GoldLingbao Jinyuan Tonghui Refinery Co., Ltd.</v>
      </c>
      <c r="K110" s="45" t="str">
        <f t="shared" si="3"/>
        <v>GoldLingbao Jinyuan Tonghui Refinery Co., Ltd.</v>
      </c>
      <c r="L110" s="243"/>
    </row>
    <row r="111" spans="1:12" ht="10.5" customHeight="1">
      <c r="A111" s="297" t="s">
        <v>2290</v>
      </c>
      <c r="B111" s="297" t="s">
        <v>4899</v>
      </c>
      <c r="C111" s="297" t="s">
        <v>4899</v>
      </c>
      <c r="D111" s="297" t="s">
        <v>2115</v>
      </c>
      <c r="E111" s="297" t="s">
        <v>4900</v>
      </c>
      <c r="F111" s="297" t="s">
        <v>3060</v>
      </c>
      <c r="G111" s="297"/>
      <c r="H111" s="297" t="s">
        <v>4918</v>
      </c>
      <c r="I111" s="297" t="s">
        <v>4918</v>
      </c>
      <c r="J111" s="45" t="str">
        <f t="shared" si="2"/>
        <v>GoldL'Orfebre S.A.</v>
      </c>
      <c r="K111" s="45" t="str">
        <f t="shared" si="3"/>
        <v>GoldL'Orfebre S.A.</v>
      </c>
      <c r="L111" s="243"/>
    </row>
    <row r="112" spans="1:12" ht="10.5" customHeight="1">
      <c r="A112" s="297" t="s">
        <v>2290</v>
      </c>
      <c r="B112" s="297" t="s">
        <v>73</v>
      </c>
      <c r="C112" s="297" t="s">
        <v>73</v>
      </c>
      <c r="D112" s="297" t="s">
        <v>4876</v>
      </c>
      <c r="E112" s="297" t="s">
        <v>1263</v>
      </c>
      <c r="F112" s="297" t="s">
        <v>3060</v>
      </c>
      <c r="G112" s="297"/>
      <c r="H112" s="297" t="s">
        <v>3160</v>
      </c>
      <c r="I112" s="297" t="s">
        <v>3161</v>
      </c>
      <c r="J112" s="45" t="str">
        <f t="shared" si="2"/>
        <v>GoldLS-NIKKO Copper Inc.</v>
      </c>
      <c r="K112" s="45" t="str">
        <f t="shared" si="3"/>
        <v>GoldLS-NIKKO Copper Inc.</v>
      </c>
      <c r="L112" s="243"/>
    </row>
    <row r="113" spans="1:12" ht="10.5" customHeight="1">
      <c r="A113" s="297" t="s">
        <v>2290</v>
      </c>
      <c r="B113" s="297" t="s">
        <v>3162</v>
      </c>
      <c r="C113" s="297" t="s">
        <v>3162</v>
      </c>
      <c r="D113" s="297" t="s">
        <v>2150</v>
      </c>
      <c r="E113" s="297" t="s">
        <v>1265</v>
      </c>
      <c r="F113" s="297" t="s">
        <v>3060</v>
      </c>
      <c r="G113" s="297"/>
      <c r="H113" s="297" t="s">
        <v>3163</v>
      </c>
      <c r="I113" s="297" t="s">
        <v>3159</v>
      </c>
      <c r="J113" s="45" t="str">
        <f t="shared" si="2"/>
        <v>GoldLuoyang Zijin Yinhui Gold Refinery Co., Ltd.</v>
      </c>
      <c r="K113" s="45" t="str">
        <f t="shared" si="3"/>
        <v>GoldLuoyang Zijin Yinhui Gold Refinery Co., Ltd.</v>
      </c>
      <c r="L113" s="243"/>
    </row>
    <row r="114" spans="1:12" ht="10.5" customHeight="1">
      <c r="A114" s="297" t="s">
        <v>2290</v>
      </c>
      <c r="B114" s="297" t="s">
        <v>38</v>
      </c>
      <c r="C114" s="297" t="s">
        <v>3162</v>
      </c>
      <c r="D114" s="297" t="s">
        <v>2150</v>
      </c>
      <c r="E114" s="297" t="s">
        <v>1265</v>
      </c>
      <c r="F114" s="297" t="s">
        <v>3060</v>
      </c>
      <c r="G114" s="297"/>
      <c r="H114" s="297" t="s">
        <v>3163</v>
      </c>
      <c r="I114" s="297" t="s">
        <v>3159</v>
      </c>
      <c r="J114" s="45" t="str">
        <f t="shared" si="2"/>
        <v>GoldLuoyang Zijin Yinhui Gold Smelting</v>
      </c>
      <c r="K114" s="45" t="str">
        <f t="shared" si="3"/>
        <v>GoldLuoyang Zijin Yinhui Gold Smelting</v>
      </c>
      <c r="L114" s="243"/>
    </row>
    <row r="115" spans="1:12" ht="10.5" customHeight="1">
      <c r="A115" s="297" t="s">
        <v>2290</v>
      </c>
      <c r="B115" s="297" t="s">
        <v>1264</v>
      </c>
      <c r="C115" s="297" t="s">
        <v>3162</v>
      </c>
      <c r="D115" s="297" t="s">
        <v>2150</v>
      </c>
      <c r="E115" s="297" t="s">
        <v>1265</v>
      </c>
      <c r="F115" s="297" t="s">
        <v>3060</v>
      </c>
      <c r="G115" s="297"/>
      <c r="H115" s="297" t="s">
        <v>3163</v>
      </c>
      <c r="I115" s="297" t="s">
        <v>3159</v>
      </c>
      <c r="J115" s="45" t="str">
        <f t="shared" si="2"/>
        <v>GoldLuoyang Zijin Yinhui Metal Smelt Co Ltd</v>
      </c>
      <c r="K115" s="45" t="str">
        <f t="shared" si="3"/>
        <v>GoldLuoyang Zijin Yinhui Metal Smelt Co Ltd</v>
      </c>
      <c r="L115" s="243"/>
    </row>
    <row r="116" spans="1:12" ht="10.5" customHeight="1">
      <c r="A116" s="297" t="s">
        <v>2290</v>
      </c>
      <c r="B116" s="297" t="s">
        <v>1763</v>
      </c>
      <c r="C116" s="297" t="s">
        <v>1763</v>
      </c>
      <c r="D116" s="297" t="s">
        <v>4880</v>
      </c>
      <c r="E116" s="297" t="s">
        <v>1266</v>
      </c>
      <c r="F116" s="297" t="s">
        <v>3060</v>
      </c>
      <c r="G116" s="297"/>
      <c r="H116" s="297" t="s">
        <v>3164</v>
      </c>
      <c r="I116" s="297" t="s">
        <v>3165</v>
      </c>
      <c r="J116" s="45" t="str">
        <f t="shared" si="2"/>
        <v>GoldMaterion</v>
      </c>
      <c r="K116" s="45" t="str">
        <f t="shared" si="3"/>
        <v>GoldMaterion</v>
      </c>
      <c r="L116" s="243"/>
    </row>
    <row r="117" spans="1:12" ht="10.5" customHeight="1">
      <c r="A117" s="297" t="s">
        <v>2290</v>
      </c>
      <c r="B117" s="297" t="s">
        <v>74</v>
      </c>
      <c r="C117" s="297" t="s">
        <v>74</v>
      </c>
      <c r="D117" s="297" t="s">
        <v>2217</v>
      </c>
      <c r="E117" s="297" t="s">
        <v>1267</v>
      </c>
      <c r="F117" s="297" t="s">
        <v>3060</v>
      </c>
      <c r="G117" s="297"/>
      <c r="H117" s="297" t="s">
        <v>3166</v>
      </c>
      <c r="I117" s="297" t="s">
        <v>3114</v>
      </c>
      <c r="J117" s="45" t="str">
        <f t="shared" si="2"/>
        <v>GoldMatsuda Sangyo Co., Ltd.</v>
      </c>
      <c r="K117" s="45" t="str">
        <f t="shared" si="3"/>
        <v>GoldMatsuda Sangyo Co., Ltd.</v>
      </c>
      <c r="L117" s="243"/>
    </row>
    <row r="118" spans="1:12" ht="10.5" customHeight="1">
      <c r="A118" s="297" t="s">
        <v>2290</v>
      </c>
      <c r="B118" s="297" t="s">
        <v>39</v>
      </c>
      <c r="C118" s="297" t="s">
        <v>76</v>
      </c>
      <c r="D118" s="297" t="s">
        <v>2217</v>
      </c>
      <c r="E118" s="297" t="s">
        <v>1298</v>
      </c>
      <c r="F118" s="297" t="s">
        <v>3060</v>
      </c>
      <c r="G118" s="297"/>
      <c r="H118" s="297" t="s">
        <v>3232</v>
      </c>
      <c r="I118" s="297" t="s">
        <v>4169</v>
      </c>
      <c r="J118" s="45" t="str">
        <f t="shared" si="2"/>
        <v>GoldMEM(Sumitomo Group)</v>
      </c>
      <c r="K118" s="45" t="str">
        <f t="shared" si="3"/>
        <v>GoldMEM(Sumitomo Group)</v>
      </c>
      <c r="L118" s="243"/>
    </row>
    <row r="119" spans="1:12" ht="10.5" customHeight="1">
      <c r="A119" s="297" t="s">
        <v>2290</v>
      </c>
      <c r="B119" s="297" t="s">
        <v>4571</v>
      </c>
      <c r="C119" s="297" t="s">
        <v>4572</v>
      </c>
      <c r="D119" s="297" t="s">
        <v>2243</v>
      </c>
      <c r="E119" s="297" t="s">
        <v>1272</v>
      </c>
      <c r="F119" s="297" t="s">
        <v>3060</v>
      </c>
      <c r="G119" s="297"/>
      <c r="H119" s="297" t="s">
        <v>3178</v>
      </c>
      <c r="I119" s="297" t="s">
        <v>3179</v>
      </c>
      <c r="J119" s="45" t="str">
        <f t="shared" si="2"/>
        <v>GoldMetal?rgica Met-Mex Pe?oles, S.A. de C.V</v>
      </c>
      <c r="K119" s="45" t="str">
        <f t="shared" si="3"/>
        <v>GoldMetal?rgica Met-Mex Pe?oles, S.A. de C.V</v>
      </c>
      <c r="L119" s="243"/>
    </row>
    <row r="120" spans="1:12" ht="10.5" customHeight="1">
      <c r="A120" s="297" t="s">
        <v>2290</v>
      </c>
      <c r="B120" s="297" t="s">
        <v>2346</v>
      </c>
      <c r="C120" s="297" t="s">
        <v>4570</v>
      </c>
      <c r="D120" s="297" t="s">
        <v>2148</v>
      </c>
      <c r="E120" s="297" t="s">
        <v>1270</v>
      </c>
      <c r="F120" s="297" t="s">
        <v>3060</v>
      </c>
      <c r="G120" s="297"/>
      <c r="H120" s="297" t="s">
        <v>3174</v>
      </c>
      <c r="I120" s="297" t="s">
        <v>3175</v>
      </c>
      <c r="J120" s="45" t="str">
        <f t="shared" si="2"/>
        <v>GoldMetalor Switzerland</v>
      </c>
      <c r="K120" s="45" t="str">
        <f t="shared" si="3"/>
        <v>GoldMetalor Switzerland</v>
      </c>
      <c r="L120" s="243"/>
    </row>
    <row r="121" spans="1:12" ht="10.5" customHeight="1">
      <c r="A121" s="297" t="s">
        <v>2290</v>
      </c>
      <c r="B121" s="297" t="s">
        <v>4050</v>
      </c>
      <c r="C121" s="297" t="s">
        <v>4050</v>
      </c>
      <c r="D121" s="297" t="s">
        <v>2150</v>
      </c>
      <c r="E121" s="297" t="s">
        <v>1268</v>
      </c>
      <c r="F121" s="297" t="s">
        <v>3060</v>
      </c>
      <c r="G121" s="297"/>
      <c r="H121" s="297" t="s">
        <v>3171</v>
      </c>
      <c r="I121" s="297" t="s">
        <v>3126</v>
      </c>
      <c r="J121" s="45" t="str">
        <f t="shared" si="2"/>
        <v>GoldMetalor Technologies (Hong Kong) Ltd.</v>
      </c>
      <c r="K121" s="45" t="str">
        <f t="shared" si="3"/>
        <v>GoldMetalor Technologies (Hong Kong) Ltd.</v>
      </c>
      <c r="L121" s="243"/>
    </row>
    <row r="122" spans="1:12" ht="10.5" customHeight="1">
      <c r="A122" s="297" t="s">
        <v>2290</v>
      </c>
      <c r="B122" s="297" t="s">
        <v>4051</v>
      </c>
      <c r="C122" s="297" t="s">
        <v>4051</v>
      </c>
      <c r="D122" s="297" t="s">
        <v>1695</v>
      </c>
      <c r="E122" s="297" t="s">
        <v>1269</v>
      </c>
      <c r="F122" s="297" t="s">
        <v>3060</v>
      </c>
      <c r="G122" s="297"/>
      <c r="H122" s="297" t="s">
        <v>3172</v>
      </c>
      <c r="I122" s="297" t="s">
        <v>3173</v>
      </c>
      <c r="J122" s="45" t="str">
        <f t="shared" si="2"/>
        <v>GoldMetalor Technologies (Singapore) Pte., Ltd.</v>
      </c>
      <c r="K122" s="45" t="str">
        <f t="shared" si="3"/>
        <v>GoldMetalor Technologies (Singapore) Pte., Ltd.</v>
      </c>
      <c r="L122" s="243"/>
    </row>
    <row r="123" spans="1:12" ht="10.5" customHeight="1">
      <c r="A123" s="297" t="s">
        <v>2290</v>
      </c>
      <c r="B123" s="297" t="s">
        <v>3167</v>
      </c>
      <c r="C123" s="297" t="s">
        <v>3167</v>
      </c>
      <c r="D123" s="297" t="s">
        <v>2150</v>
      </c>
      <c r="E123" s="297" t="s">
        <v>3168</v>
      </c>
      <c r="F123" s="297" t="s">
        <v>3060</v>
      </c>
      <c r="G123" s="297"/>
      <c r="H123" s="297" t="s">
        <v>3169</v>
      </c>
      <c r="I123" s="297" t="s">
        <v>3170</v>
      </c>
      <c r="J123" s="45" t="str">
        <f t="shared" si="2"/>
        <v>GoldMetalor Technologies (Suzhou) Ltd.</v>
      </c>
      <c r="K123" s="45" t="str">
        <f t="shared" si="3"/>
        <v>GoldMetalor Technologies (Suzhou) Ltd.</v>
      </c>
      <c r="L123" s="243"/>
    </row>
    <row r="124" spans="1:12" ht="10.5" customHeight="1">
      <c r="A124" s="297" t="s">
        <v>2290</v>
      </c>
      <c r="B124" s="297" t="s">
        <v>4570</v>
      </c>
      <c r="C124" s="297" t="s">
        <v>4570</v>
      </c>
      <c r="D124" s="297" t="s">
        <v>2148</v>
      </c>
      <c r="E124" s="297" t="s">
        <v>1270</v>
      </c>
      <c r="F124" s="297" t="s">
        <v>3060</v>
      </c>
      <c r="G124" s="297"/>
      <c r="H124" s="297" t="s">
        <v>3174</v>
      </c>
      <c r="I124" s="297" t="s">
        <v>3175</v>
      </c>
      <c r="J124" s="45" t="str">
        <f t="shared" si="2"/>
        <v>GoldMetalor Technologies S.A.</v>
      </c>
      <c r="K124" s="45" t="str">
        <f t="shared" si="3"/>
        <v>GoldMetalor Technologies S.A.</v>
      </c>
      <c r="L124" s="243"/>
    </row>
    <row r="125" spans="1:12" ht="10.5" customHeight="1">
      <c r="A125" s="297" t="s">
        <v>2290</v>
      </c>
      <c r="B125" s="297" t="s">
        <v>2420</v>
      </c>
      <c r="C125" s="297" t="s">
        <v>2420</v>
      </c>
      <c r="D125" s="297" t="s">
        <v>4880</v>
      </c>
      <c r="E125" s="297" t="s">
        <v>1271</v>
      </c>
      <c r="F125" s="297" t="s">
        <v>3060</v>
      </c>
      <c r="G125" s="297"/>
      <c r="H125" s="297" t="s">
        <v>3176</v>
      </c>
      <c r="I125" s="297" t="s">
        <v>3177</v>
      </c>
      <c r="J125" s="45" t="str">
        <f t="shared" si="2"/>
        <v>GoldMetalor USA Refining Corporation</v>
      </c>
      <c r="K125" s="45" t="str">
        <f t="shared" si="3"/>
        <v>GoldMetalor USA Refining Corporation</v>
      </c>
      <c r="L125" s="243"/>
    </row>
    <row r="126" spans="1:12" ht="10.5" customHeight="1">
      <c r="A126" s="297" t="s">
        <v>2290</v>
      </c>
      <c r="B126" s="297" t="s">
        <v>4572</v>
      </c>
      <c r="C126" s="297" t="s">
        <v>4572</v>
      </c>
      <c r="D126" s="297" t="s">
        <v>2243</v>
      </c>
      <c r="E126" s="297" t="s">
        <v>1272</v>
      </c>
      <c r="F126" s="297" t="s">
        <v>3060</v>
      </c>
      <c r="G126" s="297"/>
      <c r="H126" s="297" t="s">
        <v>3178</v>
      </c>
      <c r="I126" s="297" t="s">
        <v>3179</v>
      </c>
      <c r="J126" s="45" t="str">
        <f t="shared" si="2"/>
        <v>GoldMetalúrgica Met-Mex Peñoles S.A. De C.V.</v>
      </c>
      <c r="K126" s="45" t="str">
        <f t="shared" si="3"/>
        <v>GoldMetalúrgica Met-Mex Peñoles S.A. De C.V.</v>
      </c>
      <c r="L126" s="243"/>
    </row>
    <row r="127" spans="1:12" ht="10.5" customHeight="1">
      <c r="A127" s="297" t="s">
        <v>2290</v>
      </c>
      <c r="B127" s="297" t="s">
        <v>4573</v>
      </c>
      <c r="C127" s="297" t="s">
        <v>4572</v>
      </c>
      <c r="D127" s="297" t="s">
        <v>2243</v>
      </c>
      <c r="E127" s="297" t="s">
        <v>1272</v>
      </c>
      <c r="F127" s="297" t="s">
        <v>3060</v>
      </c>
      <c r="G127" s="297"/>
      <c r="H127" s="297" t="s">
        <v>3178</v>
      </c>
      <c r="I127" s="297" t="s">
        <v>3179</v>
      </c>
      <c r="J127" s="45" t="str">
        <f t="shared" si="2"/>
        <v>GoldMet-Mex Pe?oles, S.A.</v>
      </c>
      <c r="K127" s="45" t="str">
        <f t="shared" si="3"/>
        <v>GoldMet-Mex Pe?oles, S.A.</v>
      </c>
      <c r="L127" s="243"/>
    </row>
    <row r="128" spans="1:12" ht="10.5" customHeight="1">
      <c r="A128" s="297" t="s">
        <v>2290</v>
      </c>
      <c r="B128" s="297" t="s">
        <v>4035</v>
      </c>
      <c r="C128" s="297" t="s">
        <v>4572</v>
      </c>
      <c r="D128" s="297" t="s">
        <v>2243</v>
      </c>
      <c r="E128" s="297" t="s">
        <v>1272</v>
      </c>
      <c r="F128" s="297" t="s">
        <v>3060</v>
      </c>
      <c r="G128" s="297"/>
      <c r="H128" s="297" t="s">
        <v>3178</v>
      </c>
      <c r="I128" s="297" t="s">
        <v>3179</v>
      </c>
      <c r="J128" s="45" t="str">
        <f t="shared" si="2"/>
        <v>GoldMet-Mex Penoles, S.A.</v>
      </c>
      <c r="K128" s="45" t="str">
        <f t="shared" si="3"/>
        <v>GoldMet-Mex Penoles, S.A.</v>
      </c>
      <c r="L128" s="243"/>
    </row>
    <row r="129" spans="1:12" ht="10.5" customHeight="1">
      <c r="A129" s="297" t="s">
        <v>2290</v>
      </c>
      <c r="B129" s="297" t="s">
        <v>2338</v>
      </c>
      <c r="C129" s="297" t="s">
        <v>2338</v>
      </c>
      <c r="D129" s="297" t="s">
        <v>2217</v>
      </c>
      <c r="E129" s="297" t="s">
        <v>1273</v>
      </c>
      <c r="F129" s="297" t="s">
        <v>3060</v>
      </c>
      <c r="G129" s="297"/>
      <c r="H129" s="297" t="s">
        <v>3180</v>
      </c>
      <c r="I129" s="297" t="s">
        <v>4168</v>
      </c>
      <c r="J129" s="45" t="str">
        <f t="shared" si="2"/>
        <v>GoldMitsubishi Materials Corporation</v>
      </c>
      <c r="K129" s="45" t="str">
        <f t="shared" si="3"/>
        <v>GoldMitsubishi Materials Corporation</v>
      </c>
      <c r="L129" s="243"/>
    </row>
    <row r="130" spans="1:12" ht="10.5" customHeight="1">
      <c r="A130" s="297" t="s">
        <v>2290</v>
      </c>
      <c r="B130" s="297" t="s">
        <v>3183</v>
      </c>
      <c r="C130" s="297" t="s">
        <v>2421</v>
      </c>
      <c r="D130" s="297" t="s">
        <v>2217</v>
      </c>
      <c r="E130" s="297" t="s">
        <v>1274</v>
      </c>
      <c r="F130" s="297" t="s">
        <v>3060</v>
      </c>
      <c r="G130" s="297"/>
      <c r="H130" s="297" t="s">
        <v>3182</v>
      </c>
      <c r="I130" s="297" t="s">
        <v>3181</v>
      </c>
      <c r="J130" s="45" t="str">
        <f t="shared" si="2"/>
        <v>GoldMitsui Kinzoku Co., Ltd.</v>
      </c>
      <c r="K130" s="45" t="str">
        <f t="shared" si="3"/>
        <v>GoldMitsui Kinzoku Co., Ltd.</v>
      </c>
      <c r="L130" s="243"/>
    </row>
    <row r="131" spans="1:12" ht="10.5" customHeight="1">
      <c r="A131" s="297" t="s">
        <v>2290</v>
      </c>
      <c r="B131" s="297" t="s">
        <v>2421</v>
      </c>
      <c r="C131" s="297" t="s">
        <v>2421</v>
      </c>
      <c r="D131" s="297" t="s">
        <v>2217</v>
      </c>
      <c r="E131" s="297" t="s">
        <v>1274</v>
      </c>
      <c r="F131" s="297" t="s">
        <v>3060</v>
      </c>
      <c r="G131" s="297"/>
      <c r="H131" s="297" t="s">
        <v>3182</v>
      </c>
      <c r="I131" s="297" t="s">
        <v>3181</v>
      </c>
      <c r="J131" s="45" t="str">
        <f t="shared" si="2"/>
        <v>GoldMitsui Mining and Smelting Co., Ltd.</v>
      </c>
      <c r="K131" s="45" t="str">
        <f t="shared" si="3"/>
        <v>GoldMitsui Mining and Smelting Co., Ltd.</v>
      </c>
      <c r="L131" s="243"/>
    </row>
    <row r="132" spans="1:12" ht="10.5" customHeight="1">
      <c r="A132" s="297" t="s">
        <v>2290</v>
      </c>
      <c r="B132" s="297" t="s">
        <v>4076</v>
      </c>
      <c r="C132" s="297" t="s">
        <v>4076</v>
      </c>
      <c r="D132" s="297" t="s">
        <v>2207</v>
      </c>
      <c r="E132" s="297" t="s">
        <v>2643</v>
      </c>
      <c r="F132" s="297" t="s">
        <v>3060</v>
      </c>
      <c r="G132" s="297"/>
      <c r="H132" s="297" t="s">
        <v>3276</v>
      </c>
      <c r="I132" s="297" t="s">
        <v>3277</v>
      </c>
      <c r="J132" s="45" t="str">
        <f t="shared" ref="J132:J196" si="4">A132&amp;B132</f>
        <v>GoldMMTC-PAMP India Pvt., Ltd.</v>
      </c>
      <c r="K132" s="45" t="str">
        <f t="shared" ref="K132:K196" si="5">A132&amp;B132</f>
        <v>GoldMMTC-PAMP India Pvt., Ltd.</v>
      </c>
      <c r="L132" s="243"/>
    </row>
    <row r="133" spans="1:12" ht="10.5" customHeight="1">
      <c r="A133" s="297" t="s">
        <v>2290</v>
      </c>
      <c r="B133" s="297" t="s">
        <v>4575</v>
      </c>
      <c r="C133" s="297" t="s">
        <v>4575</v>
      </c>
      <c r="D133" s="297" t="s">
        <v>2256</v>
      </c>
      <c r="E133" s="297" t="s">
        <v>4576</v>
      </c>
      <c r="F133" s="297" t="s">
        <v>3060</v>
      </c>
      <c r="G133" s="297"/>
      <c r="H133" s="297" t="s">
        <v>4629</v>
      </c>
      <c r="I133" s="297" t="s">
        <v>4630</v>
      </c>
      <c r="J133" s="45" t="str">
        <f t="shared" si="4"/>
        <v>GoldModeltech Sdn Bhd</v>
      </c>
      <c r="K133" s="45" t="str">
        <f t="shared" si="5"/>
        <v>GoldModeltech Sdn Bhd</v>
      </c>
      <c r="L133" s="243"/>
    </row>
    <row r="134" spans="1:12" ht="10.5" customHeight="1">
      <c r="A134" s="297" t="s">
        <v>2290</v>
      </c>
      <c r="B134" s="297" t="s">
        <v>4164</v>
      </c>
      <c r="C134" s="297" t="s">
        <v>4164</v>
      </c>
      <c r="D134" s="297" t="s">
        <v>2269</v>
      </c>
      <c r="E134" s="297" t="s">
        <v>4165</v>
      </c>
      <c r="F134" s="297" t="s">
        <v>3060</v>
      </c>
      <c r="G134" s="297"/>
      <c r="H134" s="297" t="s">
        <v>4577</v>
      </c>
      <c r="I134" s="297" t="s">
        <v>4166</v>
      </c>
      <c r="J134" s="45" t="str">
        <f t="shared" si="4"/>
        <v>GoldMorris and Watson</v>
      </c>
      <c r="K134" s="45" t="str">
        <f t="shared" si="5"/>
        <v>GoldMorris and Watson</v>
      </c>
      <c r="L134" s="243"/>
    </row>
    <row r="135" spans="1:12" ht="10.5" customHeight="1">
      <c r="A135" s="297" t="s">
        <v>2290</v>
      </c>
      <c r="B135" s="297" t="s">
        <v>4901</v>
      </c>
      <c r="C135" s="297" t="s">
        <v>4901</v>
      </c>
      <c r="D135" s="297" t="s">
        <v>2124</v>
      </c>
      <c r="E135" s="297" t="s">
        <v>4902</v>
      </c>
      <c r="F135" s="297" t="s">
        <v>3060</v>
      </c>
      <c r="G135" s="297"/>
      <c r="H135" s="297" t="s">
        <v>4919</v>
      </c>
      <c r="I135" s="297" t="s">
        <v>4920</v>
      </c>
      <c r="J135" s="45" t="str">
        <f t="shared" si="4"/>
        <v>GoldMorris and Watson Gold Coast</v>
      </c>
      <c r="K135" s="45" t="str">
        <f t="shared" si="5"/>
        <v>GoldMorris and Watson Gold Coast</v>
      </c>
      <c r="L135" s="243"/>
    </row>
    <row r="136" spans="1:12" ht="10.5" customHeight="1">
      <c r="A136" s="297" t="s">
        <v>2290</v>
      </c>
      <c r="B136" s="297" t="s">
        <v>1764</v>
      </c>
      <c r="C136" s="297" t="s">
        <v>1764</v>
      </c>
      <c r="D136" s="297" t="s">
        <v>1690</v>
      </c>
      <c r="E136" s="297" t="s">
        <v>1275</v>
      </c>
      <c r="F136" s="297" t="s">
        <v>3060</v>
      </c>
      <c r="G136" s="297"/>
      <c r="H136" s="297" t="s">
        <v>3184</v>
      </c>
      <c r="I136" s="297" t="s">
        <v>3229</v>
      </c>
      <c r="J136" s="45" t="str">
        <f t="shared" si="4"/>
        <v>GoldMoscow Special Alloys Processing Plant</v>
      </c>
      <c r="K136" s="45" t="str">
        <f t="shared" si="5"/>
        <v>GoldMoscow Special Alloys Processing Plant</v>
      </c>
      <c r="L136" s="243"/>
    </row>
    <row r="137" spans="1:12" ht="10.5" customHeight="1">
      <c r="A137" s="297" t="s">
        <v>2290</v>
      </c>
      <c r="B137" s="297" t="s">
        <v>2427</v>
      </c>
      <c r="C137" s="297" t="s">
        <v>2427</v>
      </c>
      <c r="D137" s="297" t="s">
        <v>1724</v>
      </c>
      <c r="E137" s="297" t="s">
        <v>1276</v>
      </c>
      <c r="F137" s="297" t="s">
        <v>3060</v>
      </c>
      <c r="G137" s="297"/>
      <c r="H137" s="297" t="s">
        <v>3185</v>
      </c>
      <c r="I137" s="297" t="s">
        <v>3079</v>
      </c>
      <c r="J137" s="45" t="str">
        <f t="shared" si="4"/>
        <v>GoldNadir Metal Rafineri San. Ve Tic. A.Ş.</v>
      </c>
      <c r="K137" s="45" t="str">
        <f t="shared" si="5"/>
        <v>GoldNadir Metal Rafineri San. Ve Tic. A.Ş.</v>
      </c>
      <c r="L137" s="243"/>
    </row>
    <row r="138" spans="1:12" ht="10.5" customHeight="1">
      <c r="A138" s="297" t="s">
        <v>2290</v>
      </c>
      <c r="B138" s="297" t="s">
        <v>2422</v>
      </c>
      <c r="C138" s="297" t="s">
        <v>2422</v>
      </c>
      <c r="D138" s="297" t="s">
        <v>1731</v>
      </c>
      <c r="E138" s="297" t="s">
        <v>1277</v>
      </c>
      <c r="F138" s="297" t="s">
        <v>3060</v>
      </c>
      <c r="G138" s="297"/>
      <c r="H138" s="297" t="s">
        <v>3186</v>
      </c>
      <c r="I138" s="297" t="s">
        <v>3187</v>
      </c>
      <c r="J138" s="45" t="str">
        <f t="shared" si="4"/>
        <v>GoldNavoi Mining and Metallurgical Combinat</v>
      </c>
      <c r="K138" s="45" t="str">
        <f t="shared" si="5"/>
        <v>GoldNavoi Mining and Metallurgical Combinat</v>
      </c>
      <c r="L138" s="243"/>
    </row>
    <row r="139" spans="1:12" ht="10.5" customHeight="1">
      <c r="A139" s="297" t="s">
        <v>2290</v>
      </c>
      <c r="B139" s="297" t="s">
        <v>4054</v>
      </c>
      <c r="C139" s="297" t="s">
        <v>4054</v>
      </c>
      <c r="D139" s="297" t="s">
        <v>2217</v>
      </c>
      <c r="E139" s="297" t="s">
        <v>1278</v>
      </c>
      <c r="F139" s="297" t="s">
        <v>3060</v>
      </c>
      <c r="G139" s="297"/>
      <c r="H139" s="297" t="s">
        <v>3188</v>
      </c>
      <c r="I139" s="297" t="s">
        <v>3189</v>
      </c>
      <c r="J139" s="45" t="str">
        <f t="shared" si="4"/>
        <v>GoldNihon Material Co., Ltd.</v>
      </c>
      <c r="K139" s="45" t="str">
        <f t="shared" si="5"/>
        <v>GoldNihon Material Co., Ltd.</v>
      </c>
      <c r="L139" s="243"/>
    </row>
    <row r="140" spans="1:12" ht="10.5" customHeight="1">
      <c r="A140" s="297" t="s">
        <v>2290</v>
      </c>
      <c r="B140" s="297" t="s">
        <v>3083</v>
      </c>
      <c r="C140" s="297" t="s">
        <v>2415</v>
      </c>
      <c r="D140" s="297" t="s">
        <v>2164</v>
      </c>
      <c r="E140" s="297" t="s">
        <v>1220</v>
      </c>
      <c r="F140" s="297" t="s">
        <v>3060</v>
      </c>
      <c r="G140" s="297"/>
      <c r="H140" s="297" t="s">
        <v>3081</v>
      </c>
      <c r="I140" s="297" t="s">
        <v>3082</v>
      </c>
      <c r="J140" s="45" t="str">
        <f t="shared" si="4"/>
        <v>GoldNorddeutsche Affinererie AG</v>
      </c>
      <c r="K140" s="45" t="str">
        <f t="shared" si="5"/>
        <v>GoldNorddeutsche Affinererie AG</v>
      </c>
      <c r="L140" s="243"/>
    </row>
    <row r="141" spans="1:12" ht="10.5" customHeight="1">
      <c r="A141" s="297" t="s">
        <v>2290</v>
      </c>
      <c r="B141" s="297" t="s">
        <v>4157</v>
      </c>
      <c r="C141" s="297" t="s">
        <v>4157</v>
      </c>
      <c r="D141" s="297" t="s">
        <v>2125</v>
      </c>
      <c r="E141" s="297" t="s">
        <v>4160</v>
      </c>
      <c r="F141" s="297" t="s">
        <v>3060</v>
      </c>
      <c r="G141" s="297"/>
      <c r="H141" s="297" t="s">
        <v>4161</v>
      </c>
      <c r="I141" s="297" t="s">
        <v>4161</v>
      </c>
      <c r="J141" s="45" t="str">
        <f t="shared" si="4"/>
        <v>GoldÖgussa Österreichische Gold- und Silber-Scheideanstalt GmbH</v>
      </c>
      <c r="K141" s="45" t="str">
        <f t="shared" si="5"/>
        <v>GoldÖgussa Österreichische Gold- und Silber-Scheideanstalt GmbH</v>
      </c>
      <c r="L141" s="243"/>
    </row>
    <row r="142" spans="1:12" ht="10.5" customHeight="1">
      <c r="A142" s="297" t="s">
        <v>2290</v>
      </c>
      <c r="B142" s="297" t="s">
        <v>75</v>
      </c>
      <c r="C142" s="297" t="s">
        <v>4153</v>
      </c>
      <c r="D142" s="297" t="s">
        <v>4880</v>
      </c>
      <c r="E142" s="297" t="s">
        <v>1279</v>
      </c>
      <c r="F142" s="297" t="s">
        <v>3060</v>
      </c>
      <c r="G142" s="297"/>
      <c r="H142" s="297" t="s">
        <v>3190</v>
      </c>
      <c r="I142" s="297" t="s">
        <v>3191</v>
      </c>
      <c r="J142" s="45" t="str">
        <f t="shared" si="4"/>
        <v>GoldOhio Precious Metals, LLC</v>
      </c>
      <c r="K142" s="45" t="str">
        <f t="shared" si="5"/>
        <v>GoldOhio Precious Metals, LLC</v>
      </c>
      <c r="L142" s="243"/>
    </row>
    <row r="143" spans="1:12" ht="10.5" customHeight="1">
      <c r="A143" s="297" t="s">
        <v>2290</v>
      </c>
      <c r="B143" s="297" t="s">
        <v>4055</v>
      </c>
      <c r="C143" s="297" t="s">
        <v>4055</v>
      </c>
      <c r="D143" s="297" t="s">
        <v>2217</v>
      </c>
      <c r="E143" s="297" t="s">
        <v>1280</v>
      </c>
      <c r="F143" s="297" t="s">
        <v>3060</v>
      </c>
      <c r="G143" s="297"/>
      <c r="H143" s="297" t="s">
        <v>3192</v>
      </c>
      <c r="I143" s="297" t="s">
        <v>3193</v>
      </c>
      <c r="J143" s="45" t="str">
        <f t="shared" si="4"/>
        <v>GoldOhura Precious Metal Industry Co., Ltd.</v>
      </c>
      <c r="K143" s="45" t="str">
        <f t="shared" si="5"/>
        <v>GoldOhura Precious Metal Industry Co., Ltd.</v>
      </c>
      <c r="L143" s="243"/>
    </row>
    <row r="144" spans="1:12" ht="10.5" customHeight="1">
      <c r="A144" s="297" t="s">
        <v>2290</v>
      </c>
      <c r="B144" s="297" t="s">
        <v>4226</v>
      </c>
      <c r="C144" s="297" t="s">
        <v>4226</v>
      </c>
      <c r="D144" s="297" t="s">
        <v>1690</v>
      </c>
      <c r="E144" s="297" t="s">
        <v>1281</v>
      </c>
      <c r="F144" s="297" t="s">
        <v>3060</v>
      </c>
      <c r="G144" s="297"/>
      <c r="H144" s="297" t="s">
        <v>3194</v>
      </c>
      <c r="I144" s="297" t="s">
        <v>3195</v>
      </c>
      <c r="J144" s="45" t="str">
        <f t="shared" si="4"/>
        <v>GoldOJSC "The Gulidov Krasnoyarsk Non-Ferrous Metals Plant" (OJSC Krastsvetmet)</v>
      </c>
      <c r="K144" s="45" t="str">
        <f t="shared" si="5"/>
        <v>GoldOJSC "The Gulidov Krasnoyarsk Non-Ferrous Metals Plant" (OJSC Krastsvetmet)</v>
      </c>
      <c r="L144" s="243"/>
    </row>
    <row r="145" spans="1:12" ht="10.5" customHeight="1">
      <c r="A145" s="297" t="s">
        <v>2290</v>
      </c>
      <c r="B145" s="297" t="s">
        <v>3196</v>
      </c>
      <c r="C145" s="297" t="s">
        <v>4226</v>
      </c>
      <c r="D145" s="297" t="s">
        <v>1690</v>
      </c>
      <c r="E145" s="297" t="s">
        <v>1281</v>
      </c>
      <c r="F145" s="297" t="s">
        <v>3060</v>
      </c>
      <c r="G145" s="297"/>
      <c r="H145" s="297" t="s">
        <v>3194</v>
      </c>
      <c r="I145" s="297" t="s">
        <v>3195</v>
      </c>
      <c r="J145" s="45" t="str">
        <f t="shared" si="4"/>
        <v>GoldOJSC Krastsvetmet</v>
      </c>
      <c r="K145" s="45" t="str">
        <f t="shared" si="5"/>
        <v>GoldOJSC Krastsvetmet</v>
      </c>
      <c r="L145" s="243"/>
    </row>
    <row r="146" spans="1:12" ht="10.5" customHeight="1">
      <c r="A146" s="297" t="s">
        <v>2290</v>
      </c>
      <c r="B146" s="297" t="s">
        <v>4150</v>
      </c>
      <c r="C146" s="297" t="s">
        <v>4150</v>
      </c>
      <c r="D146" s="297" t="s">
        <v>1690</v>
      </c>
      <c r="E146" s="297" t="s">
        <v>1237</v>
      </c>
      <c r="F146" s="297" t="s">
        <v>3060</v>
      </c>
      <c r="G146" s="297"/>
      <c r="H146" s="297" t="s">
        <v>3115</v>
      </c>
      <c r="I146" s="297" t="s">
        <v>4227</v>
      </c>
      <c r="J146" s="45" t="str">
        <f t="shared" si="4"/>
        <v>GoldOJSC Novosibirsk Refinery</v>
      </c>
      <c r="K146" s="45" t="str">
        <f t="shared" si="5"/>
        <v>GoldOJSC Novosibirsk Refinery</v>
      </c>
      <c r="L146" s="243"/>
    </row>
    <row r="147" spans="1:12" ht="10.5" customHeight="1">
      <c r="A147" s="297" t="s">
        <v>2290</v>
      </c>
      <c r="B147" s="297" t="s">
        <v>2539</v>
      </c>
      <c r="C147" s="297" t="s">
        <v>4153</v>
      </c>
      <c r="D147" s="297" t="s">
        <v>4880</v>
      </c>
      <c r="E147" s="297" t="s">
        <v>1279</v>
      </c>
      <c r="F147" s="297" t="s">
        <v>3060</v>
      </c>
      <c r="G147" s="297"/>
      <c r="H147" s="297" t="s">
        <v>3190</v>
      </c>
      <c r="I147" s="297" t="s">
        <v>3191</v>
      </c>
      <c r="J147" s="45" t="str">
        <f t="shared" si="4"/>
        <v>GoldOPM</v>
      </c>
      <c r="K147" s="45" t="str">
        <f t="shared" si="5"/>
        <v>GoldOPM</v>
      </c>
      <c r="L147" s="243"/>
    </row>
    <row r="148" spans="1:12" ht="10.5" customHeight="1">
      <c r="A148" s="297" t="s">
        <v>2290</v>
      </c>
      <c r="B148" s="297" t="s">
        <v>4578</v>
      </c>
      <c r="C148" s="297" t="s">
        <v>4578</v>
      </c>
      <c r="D148" s="297" t="s">
        <v>2148</v>
      </c>
      <c r="E148" s="297" t="s">
        <v>1282</v>
      </c>
      <c r="F148" s="297" t="s">
        <v>3060</v>
      </c>
      <c r="G148" s="297"/>
      <c r="H148" s="297" t="s">
        <v>3197</v>
      </c>
      <c r="I148" s="297" t="s">
        <v>3073</v>
      </c>
      <c r="J148" s="45" t="str">
        <f t="shared" si="4"/>
        <v>GoldPAMP S.A.</v>
      </c>
      <c r="K148" s="45" t="str">
        <f t="shared" si="5"/>
        <v>GoldPAMP S.A.</v>
      </c>
      <c r="L148" s="243"/>
    </row>
    <row r="149" spans="1:12" ht="10.5" customHeight="1">
      <c r="A149" s="297" t="s">
        <v>2290</v>
      </c>
      <c r="B149" s="297" t="s">
        <v>4182</v>
      </c>
      <c r="C149" s="297" t="s">
        <v>72</v>
      </c>
      <c r="D149" s="297" t="s">
        <v>2217</v>
      </c>
      <c r="E149" s="297" t="s">
        <v>1255</v>
      </c>
      <c r="F149" s="297" t="s">
        <v>3060</v>
      </c>
      <c r="G149" s="297"/>
      <c r="H149" s="297" t="s">
        <v>4708</v>
      </c>
      <c r="I149" s="297" t="s">
        <v>4708</v>
      </c>
      <c r="J149" s="45" t="str">
        <f t="shared" si="4"/>
        <v>GoldPan Pacific Copper Co Ltd.</v>
      </c>
      <c r="K149" s="45" t="str">
        <f t="shared" si="5"/>
        <v>GoldPan Pacific Copper Co Ltd.</v>
      </c>
      <c r="L149" s="243"/>
    </row>
    <row r="150" spans="1:12" ht="10.5" customHeight="1">
      <c r="A150" s="297" t="s">
        <v>2290</v>
      </c>
      <c r="B150" s="297" t="s">
        <v>4903</v>
      </c>
      <c r="C150" s="297" t="s">
        <v>4903</v>
      </c>
      <c r="D150" s="297" t="s">
        <v>4880</v>
      </c>
      <c r="E150" s="297" t="s">
        <v>4904</v>
      </c>
      <c r="F150" s="297" t="s">
        <v>3060</v>
      </c>
      <c r="G150" s="297"/>
      <c r="H150" s="297" t="s">
        <v>3061</v>
      </c>
      <c r="I150" s="297" t="s">
        <v>3062</v>
      </c>
      <c r="J150" s="45" t="str">
        <f t="shared" si="4"/>
        <v>GoldPease &amp; Curren</v>
      </c>
      <c r="K150" s="45" t="str">
        <f t="shared" si="5"/>
        <v>GoldPease &amp; Curren</v>
      </c>
      <c r="L150" s="243"/>
    </row>
    <row r="151" spans="1:12" ht="10.5" customHeight="1">
      <c r="A151" s="297" t="s">
        <v>2290</v>
      </c>
      <c r="B151" s="297" t="s">
        <v>4056</v>
      </c>
      <c r="C151" s="297" t="s">
        <v>4056</v>
      </c>
      <c r="D151" s="297" t="s">
        <v>2150</v>
      </c>
      <c r="E151" s="297" t="s">
        <v>1283</v>
      </c>
      <c r="F151" s="297" t="s">
        <v>3060</v>
      </c>
      <c r="G151" s="297"/>
      <c r="H151" s="297" t="s">
        <v>4988</v>
      </c>
      <c r="I151" s="297" t="s">
        <v>3199</v>
      </c>
      <c r="J151" s="45" t="str">
        <f t="shared" si="4"/>
        <v>GoldPenglai Penggang Gold Industry Co., Ltd.</v>
      </c>
      <c r="K151" s="45" t="str">
        <f t="shared" si="5"/>
        <v>GoldPenglai Penggang Gold Industry Co., Ltd.</v>
      </c>
      <c r="L151" s="243"/>
    </row>
    <row r="152" spans="1:12" ht="10.5" customHeight="1">
      <c r="A152" s="297" t="s">
        <v>2290</v>
      </c>
      <c r="B152" s="297" t="s">
        <v>4183</v>
      </c>
      <c r="C152" s="297" t="s">
        <v>2289</v>
      </c>
      <c r="D152" s="297" t="s">
        <v>2124</v>
      </c>
      <c r="E152" s="297" t="s">
        <v>1309</v>
      </c>
      <c r="F152" s="297" t="s">
        <v>3060</v>
      </c>
      <c r="G152" s="297"/>
      <c r="H152" s="297" t="s">
        <v>3253</v>
      </c>
      <c r="I152" s="297" t="s">
        <v>3254</v>
      </c>
      <c r="J152" s="45" t="str">
        <f t="shared" si="4"/>
        <v>GoldPerth Mint</v>
      </c>
      <c r="K152" s="45" t="str">
        <f t="shared" si="5"/>
        <v>GoldPerth Mint</v>
      </c>
      <c r="L152" s="243"/>
    </row>
    <row r="153" spans="1:12" ht="10.5" customHeight="1">
      <c r="A153" s="297" t="s">
        <v>2290</v>
      </c>
      <c r="B153" s="297" t="s">
        <v>3258</v>
      </c>
      <c r="C153" s="297" t="s">
        <v>2289</v>
      </c>
      <c r="D153" s="297" t="s">
        <v>2124</v>
      </c>
      <c r="E153" s="297" t="s">
        <v>1309</v>
      </c>
      <c r="F153" s="297" t="s">
        <v>3060</v>
      </c>
      <c r="G153" s="297"/>
      <c r="H153" s="297" t="s">
        <v>3253</v>
      </c>
      <c r="I153" s="297" t="s">
        <v>3254</v>
      </c>
      <c r="J153" s="45" t="str">
        <f t="shared" si="4"/>
        <v>GoldPerth Mint (ANZ)</v>
      </c>
      <c r="K153" s="45" t="str">
        <f t="shared" si="5"/>
        <v>GoldPerth Mint (ANZ)</v>
      </c>
      <c r="L153" s="243"/>
    </row>
    <row r="154" spans="1:12" ht="10.5" customHeight="1">
      <c r="A154" s="297" t="s">
        <v>2290</v>
      </c>
      <c r="B154" s="297" t="s">
        <v>1765</v>
      </c>
      <c r="C154" s="297" t="s">
        <v>1765</v>
      </c>
      <c r="D154" s="297" t="s">
        <v>1690</v>
      </c>
      <c r="E154" s="297" t="s">
        <v>1284</v>
      </c>
      <c r="F154" s="297" t="s">
        <v>3060</v>
      </c>
      <c r="G154" s="297"/>
      <c r="H154" s="297" t="s">
        <v>3200</v>
      </c>
      <c r="I154" s="297" t="s">
        <v>3201</v>
      </c>
      <c r="J154" s="45" t="str">
        <f t="shared" si="4"/>
        <v>GoldPrioksky Plant of Non-Ferrous Metals</v>
      </c>
      <c r="K154" s="45" t="str">
        <f t="shared" si="5"/>
        <v>GoldPrioksky Plant of Non-Ferrous Metals</v>
      </c>
      <c r="L154" s="243"/>
    </row>
    <row r="155" spans="1:12" ht="10.5" customHeight="1">
      <c r="A155" s="297" t="s">
        <v>2290</v>
      </c>
      <c r="B155" s="297" t="s">
        <v>4184</v>
      </c>
      <c r="C155" s="297" t="s">
        <v>4578</v>
      </c>
      <c r="D155" s="297" t="s">
        <v>2148</v>
      </c>
      <c r="E155" s="297" t="s">
        <v>1282</v>
      </c>
      <c r="F155" s="297" t="s">
        <v>3060</v>
      </c>
      <c r="G155" s="297"/>
      <c r="H155" s="297" t="s">
        <v>3197</v>
      </c>
      <c r="I155" s="297" t="s">
        <v>3073</v>
      </c>
      <c r="J155" s="45" t="str">
        <f t="shared" si="4"/>
        <v>GoldProduits Artistiques de Métaux</v>
      </c>
      <c r="K155" s="45" t="str">
        <f t="shared" si="5"/>
        <v>GoldProduits Artistiques de Métaux</v>
      </c>
      <c r="L155" s="243"/>
    </row>
    <row r="156" spans="1:12" ht="10.5" customHeight="1">
      <c r="A156" s="297" t="s">
        <v>2290</v>
      </c>
      <c r="B156" s="297" t="s">
        <v>2423</v>
      </c>
      <c r="C156" s="297" t="s">
        <v>2423</v>
      </c>
      <c r="D156" s="297" t="s">
        <v>2206</v>
      </c>
      <c r="E156" s="297" t="s">
        <v>1285</v>
      </c>
      <c r="F156" s="297" t="s">
        <v>3060</v>
      </c>
      <c r="G156" s="297"/>
      <c r="H156" s="297" t="s">
        <v>3202</v>
      </c>
      <c r="I156" s="297" t="s">
        <v>3203</v>
      </c>
      <c r="J156" s="45" t="str">
        <f t="shared" si="4"/>
        <v>GoldPT Aneka Tambang (Persero) Tbk</v>
      </c>
      <c r="K156" s="45" t="str">
        <f t="shared" si="5"/>
        <v>GoldPT Aneka Tambang (Persero) Tbk</v>
      </c>
      <c r="L156" s="243"/>
    </row>
    <row r="157" spans="1:12" ht="10.5" customHeight="1">
      <c r="A157" s="297" t="s">
        <v>2290</v>
      </c>
      <c r="B157" s="297" t="s">
        <v>4579</v>
      </c>
      <c r="C157" s="297" t="s">
        <v>4579</v>
      </c>
      <c r="D157" s="297" t="s">
        <v>2148</v>
      </c>
      <c r="E157" s="297" t="s">
        <v>1286</v>
      </c>
      <c r="F157" s="297" t="s">
        <v>3060</v>
      </c>
      <c r="G157" s="297"/>
      <c r="H157" s="297" t="s">
        <v>3204</v>
      </c>
      <c r="I157" s="297" t="s">
        <v>3175</v>
      </c>
      <c r="J157" s="45" t="str">
        <f t="shared" si="4"/>
        <v>GoldPX Précinox S.A.</v>
      </c>
      <c r="K157" s="45" t="str">
        <f t="shared" si="5"/>
        <v>GoldPX Précinox S.A.</v>
      </c>
      <c r="L157" s="243"/>
    </row>
    <row r="158" spans="1:12" ht="10.5" customHeight="1">
      <c r="A158" s="297" t="s">
        <v>2290</v>
      </c>
      <c r="B158" s="297" t="s">
        <v>4058</v>
      </c>
      <c r="C158" s="297" t="s">
        <v>4058</v>
      </c>
      <c r="D158" s="297" t="s">
        <v>1743</v>
      </c>
      <c r="E158" s="297" t="s">
        <v>1287</v>
      </c>
      <c r="F158" s="297" t="s">
        <v>3060</v>
      </c>
      <c r="G158" s="297"/>
      <c r="H158" s="297" t="s">
        <v>3205</v>
      </c>
      <c r="I158" s="297" t="s">
        <v>3206</v>
      </c>
      <c r="J158" s="45" t="str">
        <f t="shared" si="4"/>
        <v>GoldRand Refinery (Pty) Ltd.</v>
      </c>
      <c r="K158" s="45" t="str">
        <f t="shared" si="5"/>
        <v>GoldRand Refinery (Pty) Ltd.</v>
      </c>
      <c r="L158" s="243"/>
    </row>
    <row r="159" spans="1:12" ht="10.5" customHeight="1">
      <c r="A159" s="297" t="s">
        <v>2290</v>
      </c>
      <c r="B159" s="297" t="s">
        <v>40</v>
      </c>
      <c r="C159" s="297" t="s">
        <v>73</v>
      </c>
      <c r="D159" s="297" t="s">
        <v>4876</v>
      </c>
      <c r="E159" s="297" t="s">
        <v>1263</v>
      </c>
      <c r="F159" s="297" t="s">
        <v>3060</v>
      </c>
      <c r="G159" s="297"/>
      <c r="H159" s="297" t="s">
        <v>3160</v>
      </c>
      <c r="I159" s="297" t="s">
        <v>3161</v>
      </c>
      <c r="J159" s="45" t="str">
        <f t="shared" si="4"/>
        <v>GoldRefinery LS-Nikko Copper Inc.</v>
      </c>
      <c r="K159" s="45" t="str">
        <f t="shared" si="5"/>
        <v>GoldRefinery LS-Nikko Copper Inc.</v>
      </c>
      <c r="L159" s="243"/>
    </row>
    <row r="160" spans="1:12" ht="10.5" customHeight="1">
      <c r="A160" s="297" t="s">
        <v>2290</v>
      </c>
      <c r="B160" s="297" t="s">
        <v>4580</v>
      </c>
      <c r="C160" s="297" t="s">
        <v>4580</v>
      </c>
      <c r="D160" s="297" t="s">
        <v>2265</v>
      </c>
      <c r="E160" s="297" t="s">
        <v>4581</v>
      </c>
      <c r="F160" s="297" t="s">
        <v>3060</v>
      </c>
      <c r="G160" s="297"/>
      <c r="H160" s="297" t="s">
        <v>4631</v>
      </c>
      <c r="I160" s="297" t="s">
        <v>4632</v>
      </c>
      <c r="J160" s="45" t="str">
        <f t="shared" si="4"/>
        <v>GoldRemondis Argentia B.V.</v>
      </c>
      <c r="K160" s="45" t="str">
        <f t="shared" si="5"/>
        <v>GoldRemondis Argentia B.V.</v>
      </c>
      <c r="L160" s="243"/>
    </row>
    <row r="161" spans="1:12" ht="10.5" customHeight="1">
      <c r="A161" s="297" t="s">
        <v>2290</v>
      </c>
      <c r="B161" s="297" t="s">
        <v>2644</v>
      </c>
      <c r="C161" s="297" t="s">
        <v>2644</v>
      </c>
      <c r="D161" s="297" t="s">
        <v>4880</v>
      </c>
      <c r="E161" s="297" t="s">
        <v>2645</v>
      </c>
      <c r="F161" s="297" t="s">
        <v>3060</v>
      </c>
      <c r="G161" s="297"/>
      <c r="H161" s="297" t="s">
        <v>3278</v>
      </c>
      <c r="I161" s="297" t="s">
        <v>3279</v>
      </c>
      <c r="J161" s="45" t="str">
        <f t="shared" si="4"/>
        <v>GoldRepublic Metals Corporation</v>
      </c>
      <c r="K161" s="45" t="str">
        <f t="shared" si="5"/>
        <v>GoldRepublic Metals Corporation</v>
      </c>
      <c r="L161" s="243"/>
    </row>
    <row r="162" spans="1:12" ht="10.5" customHeight="1">
      <c r="A162" s="297" t="s">
        <v>2290</v>
      </c>
      <c r="B162" s="297" t="s">
        <v>1766</v>
      </c>
      <c r="C162" s="297" t="s">
        <v>1766</v>
      </c>
      <c r="D162" s="297" t="s">
        <v>2146</v>
      </c>
      <c r="E162" s="297" t="s">
        <v>1288</v>
      </c>
      <c r="F162" s="297" t="s">
        <v>3060</v>
      </c>
      <c r="G162" s="297"/>
      <c r="H162" s="297" t="s">
        <v>3207</v>
      </c>
      <c r="I162" s="297" t="s">
        <v>3145</v>
      </c>
      <c r="J162" s="45" t="str">
        <f t="shared" si="4"/>
        <v>GoldRoyal Canadian Mint</v>
      </c>
      <c r="K162" s="45" t="str">
        <f t="shared" si="5"/>
        <v>GoldRoyal Canadian Mint</v>
      </c>
      <c r="L162" s="243"/>
    </row>
    <row r="163" spans="1:12" ht="10.5" customHeight="1">
      <c r="A163" s="297" t="s">
        <v>2290</v>
      </c>
      <c r="B163" s="297" t="s">
        <v>4228</v>
      </c>
      <c r="C163" s="297" t="s">
        <v>4228</v>
      </c>
      <c r="D163" s="297" t="s">
        <v>2180</v>
      </c>
      <c r="E163" s="297" t="s">
        <v>4229</v>
      </c>
      <c r="F163" s="297" t="s">
        <v>3060</v>
      </c>
      <c r="G163" s="297"/>
      <c r="H163" s="297" t="s">
        <v>4230</v>
      </c>
      <c r="I163" s="297" t="s">
        <v>4231</v>
      </c>
      <c r="J163" s="45" t="str">
        <f t="shared" si="4"/>
        <v>GoldSAAMP</v>
      </c>
      <c r="K163" s="45" t="str">
        <f t="shared" si="5"/>
        <v>GoldSAAMP</v>
      </c>
      <c r="L163" s="243"/>
    </row>
    <row r="164" spans="1:12" ht="10.5" customHeight="1">
      <c r="A164" s="297" t="s">
        <v>2290</v>
      </c>
      <c r="B164" s="297" t="s">
        <v>2339</v>
      </c>
      <c r="C164" s="297" t="s">
        <v>2339</v>
      </c>
      <c r="D164" s="297" t="s">
        <v>4880</v>
      </c>
      <c r="E164" s="297" t="s">
        <v>1289</v>
      </c>
      <c r="F164" s="297" t="s">
        <v>3060</v>
      </c>
      <c r="G164" s="297"/>
      <c r="H164" s="297" t="s">
        <v>3208</v>
      </c>
      <c r="I164" s="297" t="s">
        <v>3209</v>
      </c>
      <c r="J164" s="45" t="str">
        <f t="shared" si="4"/>
        <v>GoldSabin Metal Corp.</v>
      </c>
      <c r="K164" s="45" t="str">
        <f t="shared" si="5"/>
        <v>GoldSabin Metal Corp.</v>
      </c>
      <c r="L164" s="243"/>
    </row>
    <row r="165" spans="1:12" ht="10.5" customHeight="1">
      <c r="A165" s="297" t="s">
        <v>2290</v>
      </c>
      <c r="B165" s="297" t="s">
        <v>4582</v>
      </c>
      <c r="C165" s="297" t="s">
        <v>4582</v>
      </c>
      <c r="D165" s="297" t="s">
        <v>2163</v>
      </c>
      <c r="E165" s="297" t="s">
        <v>4583</v>
      </c>
      <c r="F165" s="297" t="s">
        <v>3060</v>
      </c>
      <c r="G165" s="297"/>
      <c r="H165" s="297" t="s">
        <v>4584</v>
      </c>
      <c r="I165" s="297" t="s">
        <v>3283</v>
      </c>
      <c r="J165" s="45" t="str">
        <f t="shared" si="4"/>
        <v>GoldSAFINA A.S.</v>
      </c>
      <c r="K165" s="45" t="str">
        <f t="shared" si="5"/>
        <v>GoldSAFINA A.S.</v>
      </c>
      <c r="L165" s="243"/>
    </row>
    <row r="166" spans="1:12" ht="10.5" customHeight="1">
      <c r="A166" s="297" t="s">
        <v>2290</v>
      </c>
      <c r="B166" s="297" t="s">
        <v>4565</v>
      </c>
      <c r="C166" s="297" t="s">
        <v>72</v>
      </c>
      <c r="D166" s="297" t="s">
        <v>2217</v>
      </c>
      <c r="E166" s="297" t="s">
        <v>1255</v>
      </c>
      <c r="F166" s="297" t="s">
        <v>3060</v>
      </c>
      <c r="G166" s="297"/>
      <c r="H166" s="297" t="s">
        <v>4708</v>
      </c>
      <c r="I166" s="297" t="s">
        <v>4708</v>
      </c>
      <c r="J166" s="45" t="str">
        <f t="shared" si="4"/>
        <v>GoldSaganoseki Smelter &amp; Refinery</v>
      </c>
      <c r="K166" s="45" t="str">
        <f t="shared" si="5"/>
        <v>GoldSaganoseki Smelter &amp; Refinery</v>
      </c>
      <c r="L166" s="243"/>
    </row>
    <row r="167" spans="1:12" ht="10.5" customHeight="1">
      <c r="A167" s="297" t="s">
        <v>2290</v>
      </c>
      <c r="B167" s="297" t="s">
        <v>4585</v>
      </c>
      <c r="C167" s="297" t="s">
        <v>4585</v>
      </c>
      <c r="D167" s="297" t="s">
        <v>2207</v>
      </c>
      <c r="E167" s="297" t="s">
        <v>4586</v>
      </c>
      <c r="F167" s="297" t="s">
        <v>3060</v>
      </c>
      <c r="G167" s="297"/>
      <c r="H167" s="297" t="s">
        <v>4587</v>
      </c>
      <c r="I167" s="297" t="s">
        <v>4588</v>
      </c>
      <c r="J167" s="45" t="str">
        <f t="shared" si="4"/>
        <v>GoldSai Refinery</v>
      </c>
      <c r="K167" s="45" t="str">
        <f t="shared" si="5"/>
        <v>GoldSai Refinery</v>
      </c>
      <c r="L167" s="243"/>
    </row>
    <row r="168" spans="1:12" ht="10.5" customHeight="1">
      <c r="A168" s="297" t="s">
        <v>2290</v>
      </c>
      <c r="B168" s="297" t="s">
        <v>3210</v>
      </c>
      <c r="C168" s="297" t="s">
        <v>2678</v>
      </c>
      <c r="D168" s="297" t="s">
        <v>4876</v>
      </c>
      <c r="E168" s="297" t="s">
        <v>2679</v>
      </c>
      <c r="F168" s="297" t="s">
        <v>3060</v>
      </c>
      <c r="G168" s="297"/>
      <c r="H168" s="297" t="s">
        <v>3101</v>
      </c>
      <c r="I168" s="297" t="s">
        <v>3102</v>
      </c>
      <c r="J168" s="45" t="str">
        <f t="shared" si="4"/>
        <v>GoldSamdok Metal</v>
      </c>
      <c r="K168" s="45" t="str">
        <f t="shared" si="5"/>
        <v>GoldSamdok Metal</v>
      </c>
      <c r="L168" s="243"/>
    </row>
    <row r="169" spans="1:12" ht="10.5" customHeight="1">
      <c r="A169" s="297" t="s">
        <v>2290</v>
      </c>
      <c r="B169" s="297" t="s">
        <v>2678</v>
      </c>
      <c r="C169" s="297" t="s">
        <v>2678</v>
      </c>
      <c r="D169" s="297" t="s">
        <v>4876</v>
      </c>
      <c r="E169" s="297" t="s">
        <v>2679</v>
      </c>
      <c r="F169" s="297" t="s">
        <v>3060</v>
      </c>
      <c r="G169" s="297"/>
      <c r="H169" s="297" t="s">
        <v>3101</v>
      </c>
      <c r="I169" s="297" t="s">
        <v>3102</v>
      </c>
      <c r="J169" s="45" t="str">
        <f t="shared" si="4"/>
        <v>GoldSamduck Precious Metals</v>
      </c>
      <c r="K169" s="45" t="str">
        <f t="shared" si="5"/>
        <v>GoldSamduck Precious Metals</v>
      </c>
      <c r="L169" s="243"/>
    </row>
    <row r="170" spans="1:12" ht="10.5" customHeight="1">
      <c r="A170" s="297" t="s">
        <v>2290</v>
      </c>
      <c r="B170" s="297" t="s">
        <v>4905</v>
      </c>
      <c r="C170" s="297" t="s">
        <v>4905</v>
      </c>
      <c r="D170" s="297" t="s">
        <v>4876</v>
      </c>
      <c r="E170" s="297" t="s">
        <v>1290</v>
      </c>
      <c r="F170" s="297" t="s">
        <v>3060</v>
      </c>
      <c r="G170" s="297"/>
      <c r="H170" s="297" t="s">
        <v>3212</v>
      </c>
      <c r="I170" s="297" t="s">
        <v>3213</v>
      </c>
      <c r="J170" s="45" t="str">
        <f t="shared" si="4"/>
        <v>GoldSamwon Metals Corp.</v>
      </c>
      <c r="K170" s="45" t="str">
        <f t="shared" si="5"/>
        <v>GoldSamwon Metals Corp.</v>
      </c>
      <c r="L170" s="243"/>
    </row>
    <row r="171" spans="1:12" ht="10.5" customHeight="1">
      <c r="A171" s="297" t="s">
        <v>2290</v>
      </c>
      <c r="B171" s="297" t="s">
        <v>4155</v>
      </c>
      <c r="C171" s="297" t="s">
        <v>4155</v>
      </c>
      <c r="D171" s="297" t="s">
        <v>2164</v>
      </c>
      <c r="E171" s="297" t="s">
        <v>4158</v>
      </c>
      <c r="F171" s="297" t="s">
        <v>3060</v>
      </c>
      <c r="G171" s="297"/>
      <c r="H171" s="297" t="s">
        <v>3393</v>
      </c>
      <c r="I171" s="297" t="s">
        <v>3394</v>
      </c>
      <c r="J171" s="45" t="str">
        <f t="shared" si="4"/>
        <v>GoldSAXONIA Edelmetalle GmbH</v>
      </c>
      <c r="K171" s="45" t="str">
        <f t="shared" si="5"/>
        <v>GoldSAXONIA Edelmetalle GmbH</v>
      </c>
      <c r="L171" s="243"/>
    </row>
    <row r="172" spans="1:12" ht="10.5" customHeight="1">
      <c r="A172" s="297" t="s">
        <v>2290</v>
      </c>
      <c r="B172" s="297" t="s">
        <v>4170</v>
      </c>
      <c r="C172" s="297" t="s">
        <v>4170</v>
      </c>
      <c r="D172" s="297" t="s">
        <v>2265</v>
      </c>
      <c r="E172" s="297" t="s">
        <v>1291</v>
      </c>
      <c r="F172" s="297" t="s">
        <v>3060</v>
      </c>
      <c r="G172" s="297"/>
      <c r="H172" s="297" t="s">
        <v>3214</v>
      </c>
      <c r="I172" s="297" t="s">
        <v>3215</v>
      </c>
      <c r="J172" s="45" t="str">
        <f t="shared" si="4"/>
        <v>GoldSchone Edelmetaal B.V.</v>
      </c>
      <c r="K172" s="45" t="str">
        <f t="shared" si="5"/>
        <v>GoldSchone Edelmetaal B.V.</v>
      </c>
      <c r="L172" s="243"/>
    </row>
    <row r="173" spans="1:12" ht="10.5" customHeight="1">
      <c r="A173" s="297" t="s">
        <v>2290</v>
      </c>
      <c r="B173" s="297" t="s">
        <v>3211</v>
      </c>
      <c r="C173" s="297" t="s">
        <v>2678</v>
      </c>
      <c r="D173" s="297" t="s">
        <v>4876</v>
      </c>
      <c r="E173" s="297" t="s">
        <v>2679</v>
      </c>
      <c r="F173" s="297" t="s">
        <v>3060</v>
      </c>
      <c r="G173" s="297"/>
      <c r="H173" s="297" t="s">
        <v>3101</v>
      </c>
      <c r="I173" s="297" t="s">
        <v>3102</v>
      </c>
      <c r="J173" s="45" t="str">
        <f t="shared" si="4"/>
        <v>GoldSD (Samdok) Metal</v>
      </c>
      <c r="K173" s="45" t="str">
        <f t="shared" si="5"/>
        <v>GoldSD (Samdok) Metal</v>
      </c>
      <c r="L173" s="243"/>
    </row>
    <row r="174" spans="1:12" ht="10.5" customHeight="1">
      <c r="A174" s="297" t="s">
        <v>2290</v>
      </c>
      <c r="B174" s="297" t="s">
        <v>4589</v>
      </c>
      <c r="C174" s="297" t="s">
        <v>4589</v>
      </c>
      <c r="D174" s="297" t="s">
        <v>2174</v>
      </c>
      <c r="E174" s="297" t="s">
        <v>1292</v>
      </c>
      <c r="F174" s="297" t="s">
        <v>3060</v>
      </c>
      <c r="G174" s="297"/>
      <c r="H174" s="297" t="s">
        <v>3216</v>
      </c>
      <c r="I174" s="297" t="s">
        <v>3217</v>
      </c>
      <c r="J174" s="45" t="str">
        <f t="shared" si="4"/>
        <v>GoldSEMPSA Joyería Platería S.A.</v>
      </c>
      <c r="K174" s="45" t="str">
        <f t="shared" si="5"/>
        <v>GoldSEMPSA Joyería Platería S.A.</v>
      </c>
      <c r="L174" s="243"/>
    </row>
    <row r="175" spans="1:12" ht="10.5" customHeight="1">
      <c r="A175" s="297" t="s">
        <v>2290</v>
      </c>
      <c r="B175" s="297" t="s">
        <v>3218</v>
      </c>
      <c r="C175" s="297" t="s">
        <v>4589</v>
      </c>
      <c r="D175" s="297" t="s">
        <v>2174</v>
      </c>
      <c r="E175" s="297" t="s">
        <v>1292</v>
      </c>
      <c r="F175" s="297" t="s">
        <v>3060</v>
      </c>
      <c r="G175" s="297"/>
      <c r="H175" s="297" t="s">
        <v>3216</v>
      </c>
      <c r="I175" s="297" t="s">
        <v>3217</v>
      </c>
      <c r="J175" s="45" t="str">
        <f t="shared" si="4"/>
        <v>GoldSempsa JP (Cookson Sempsa)</v>
      </c>
      <c r="K175" s="45" t="str">
        <f t="shared" si="5"/>
        <v>GoldSempsa JP (Cookson Sempsa)</v>
      </c>
      <c r="L175" s="243"/>
    </row>
    <row r="176" spans="1:12" ht="10.5" customHeight="1">
      <c r="A176" s="297" t="s">
        <v>2290</v>
      </c>
      <c r="B176" s="297" t="s">
        <v>3239</v>
      </c>
      <c r="C176" s="297" t="s">
        <v>4063</v>
      </c>
      <c r="D176" s="297" t="s">
        <v>2150</v>
      </c>
      <c r="E176" s="297" t="s">
        <v>1301</v>
      </c>
      <c r="F176" s="297" t="s">
        <v>3060</v>
      </c>
      <c r="G176" s="297"/>
      <c r="H176" s="297" t="s">
        <v>3221</v>
      </c>
      <c r="I176" s="297" t="s">
        <v>3199</v>
      </c>
      <c r="J176" s="45" t="str">
        <f t="shared" si="4"/>
        <v>GoldShandong Gold Mine(Laizhou) Smelter Co., Ltd.</v>
      </c>
      <c r="K176" s="45" t="str">
        <f t="shared" si="5"/>
        <v>GoldShandong Gold Mine(Laizhou) Smelter Co., Ltd.</v>
      </c>
      <c r="L176" s="243"/>
    </row>
    <row r="177" spans="1:12" ht="10.5" customHeight="1">
      <c r="A177" s="297" t="s">
        <v>2290</v>
      </c>
      <c r="B177" s="297" t="s">
        <v>4906</v>
      </c>
      <c r="C177" s="297" t="s">
        <v>3118</v>
      </c>
      <c r="D177" s="297" t="s">
        <v>2150</v>
      </c>
      <c r="E177" s="297" t="s">
        <v>3119</v>
      </c>
      <c r="F177" s="297" t="s">
        <v>3060</v>
      </c>
      <c r="G177" s="297"/>
      <c r="H177" s="297" t="s">
        <v>3120</v>
      </c>
      <c r="I177" s="297" t="s">
        <v>3199</v>
      </c>
      <c r="J177" s="45" t="str">
        <f t="shared" si="4"/>
        <v>GoldShandong Guoda Gold Co., Ltd.</v>
      </c>
      <c r="K177" s="45" t="str">
        <f t="shared" si="5"/>
        <v>GoldShandong Guoda Gold Co., Ltd.</v>
      </c>
      <c r="L177" s="243"/>
    </row>
    <row r="178" spans="1:12" ht="10.5" customHeight="1">
      <c r="A178" s="297" t="s">
        <v>2290</v>
      </c>
      <c r="B178" s="297" t="s">
        <v>3222</v>
      </c>
      <c r="C178" s="297" t="s">
        <v>3219</v>
      </c>
      <c r="D178" s="297" t="s">
        <v>2150</v>
      </c>
      <c r="E178" s="297" t="s">
        <v>3220</v>
      </c>
      <c r="F178" s="297" t="s">
        <v>3060</v>
      </c>
      <c r="G178" s="297"/>
      <c r="H178" s="297" t="s">
        <v>3221</v>
      </c>
      <c r="I178" s="297" t="s">
        <v>3198</v>
      </c>
      <c r="J178" s="45" t="str">
        <f t="shared" si="4"/>
        <v>GoldShandong Tarzan Bio-Gold Industry Co., Ltd.</v>
      </c>
      <c r="K178" s="45" t="str">
        <f t="shared" si="5"/>
        <v>GoldShandong Tarzan Bio-Gold Industry Co., Ltd.</v>
      </c>
      <c r="L178" s="243"/>
    </row>
    <row r="179" spans="1:12" ht="10.5" customHeight="1">
      <c r="A179" s="297" t="s">
        <v>2290</v>
      </c>
      <c r="B179" s="297" t="s">
        <v>3219</v>
      </c>
      <c r="C179" s="297" t="s">
        <v>3219</v>
      </c>
      <c r="D179" s="297" t="s">
        <v>2150</v>
      </c>
      <c r="E179" s="297" t="s">
        <v>3220</v>
      </c>
      <c r="F179" s="297" t="s">
        <v>3060</v>
      </c>
      <c r="G179" s="297"/>
      <c r="H179" s="297" t="s">
        <v>3221</v>
      </c>
      <c r="I179" s="297" t="s">
        <v>3198</v>
      </c>
      <c r="J179" s="45" t="str">
        <f t="shared" si="4"/>
        <v>GoldShandong Tiancheng Biological Gold Industrial Co., Ltd.</v>
      </c>
      <c r="K179" s="45" t="str">
        <f t="shared" si="5"/>
        <v>GoldShandong Tiancheng Biological Gold Industrial Co., Ltd.</v>
      </c>
      <c r="L179" s="243"/>
    </row>
    <row r="180" spans="1:12" ht="10.5" customHeight="1">
      <c r="A180" s="297" t="s">
        <v>2290</v>
      </c>
      <c r="B180" s="297" t="s">
        <v>4060</v>
      </c>
      <c r="C180" s="297" t="s">
        <v>4060</v>
      </c>
      <c r="D180" s="297" t="s">
        <v>2150</v>
      </c>
      <c r="E180" s="297" t="s">
        <v>1293</v>
      </c>
      <c r="F180" s="297" t="s">
        <v>3060</v>
      </c>
      <c r="G180" s="297"/>
      <c r="H180" s="297" t="s">
        <v>3120</v>
      </c>
      <c r="I180" s="297" t="s">
        <v>3199</v>
      </c>
      <c r="J180" s="45" t="str">
        <f t="shared" si="4"/>
        <v>GoldShandong Zhaojin Gold &amp; Silver Refinery Co., Ltd.</v>
      </c>
      <c r="K180" s="45" t="str">
        <f t="shared" si="5"/>
        <v>GoldShandong Zhaojin Gold &amp; Silver Refinery Co., Ltd.</v>
      </c>
      <c r="L180" s="243"/>
    </row>
    <row r="181" spans="1:12" ht="10.5" customHeight="1">
      <c r="A181" s="297" t="s">
        <v>2290</v>
      </c>
      <c r="B181" s="297" t="s">
        <v>3223</v>
      </c>
      <c r="C181" s="297" t="s">
        <v>4063</v>
      </c>
      <c r="D181" s="297" t="s">
        <v>2150</v>
      </c>
      <c r="E181" s="297" t="s">
        <v>1301</v>
      </c>
      <c r="F181" s="297" t="s">
        <v>3060</v>
      </c>
      <c r="G181" s="297"/>
      <c r="H181" s="297" t="s">
        <v>3221</v>
      </c>
      <c r="I181" s="297" t="s">
        <v>3199</v>
      </c>
      <c r="J181" s="45" t="str">
        <f t="shared" si="4"/>
        <v>GoldShangdong Gold (Laizhou)</v>
      </c>
      <c r="K181" s="45" t="str">
        <f t="shared" si="5"/>
        <v>GoldShangdong Gold (Laizhou)</v>
      </c>
      <c r="L181" s="243"/>
    </row>
    <row r="182" spans="1:12" ht="10.5" customHeight="1">
      <c r="A182" s="297" t="s">
        <v>2290</v>
      </c>
      <c r="B182" s="297" t="s">
        <v>41</v>
      </c>
      <c r="C182" s="297" t="s">
        <v>2424</v>
      </c>
      <c r="D182" s="297" t="s">
        <v>2217</v>
      </c>
      <c r="E182" s="297" t="s">
        <v>1299</v>
      </c>
      <c r="F182" s="297" t="s">
        <v>3060</v>
      </c>
      <c r="G182" s="297"/>
      <c r="H182" s="297" t="s">
        <v>3234</v>
      </c>
      <c r="I182" s="297" t="s">
        <v>3235</v>
      </c>
      <c r="J182" s="45" t="str">
        <f t="shared" si="4"/>
        <v>GoldShonan Plant Tanaka Kikinzoku</v>
      </c>
      <c r="K182" s="45" t="str">
        <f t="shared" si="5"/>
        <v>GoldShonan Plant Tanaka Kikinzoku</v>
      </c>
      <c r="L182" s="243"/>
    </row>
    <row r="183" spans="1:12" ht="10.5" customHeight="1">
      <c r="A183" s="297" t="s">
        <v>2290</v>
      </c>
      <c r="B183" s="297" t="s">
        <v>4061</v>
      </c>
      <c r="C183" s="297" t="s">
        <v>4061</v>
      </c>
      <c r="D183" s="297" t="s">
        <v>2150</v>
      </c>
      <c r="E183" s="297" t="s">
        <v>2646</v>
      </c>
      <c r="F183" s="297" t="s">
        <v>3060</v>
      </c>
      <c r="G183" s="297"/>
      <c r="H183" s="297" t="s">
        <v>3225</v>
      </c>
      <c r="I183" s="297" t="s">
        <v>3226</v>
      </c>
      <c r="J183" s="45" t="str">
        <f t="shared" si="4"/>
        <v>GoldSichuan Tianze Precious Metals Co., Ltd.</v>
      </c>
      <c r="K183" s="45" t="str">
        <f t="shared" si="5"/>
        <v>GoldSichuan Tianze Precious Metals Co., Ltd.</v>
      </c>
      <c r="L183" s="243"/>
    </row>
    <row r="184" spans="1:12" ht="10.5" customHeight="1">
      <c r="A184" s="297" t="s">
        <v>2290</v>
      </c>
      <c r="B184" s="297" t="s">
        <v>42</v>
      </c>
      <c r="C184" s="297" t="s">
        <v>2424</v>
      </c>
      <c r="D184" s="297" t="s">
        <v>2217</v>
      </c>
      <c r="E184" s="297" t="s">
        <v>1299</v>
      </c>
      <c r="F184" s="297" t="s">
        <v>3060</v>
      </c>
      <c r="G184" s="297"/>
      <c r="H184" s="297" t="s">
        <v>3234</v>
      </c>
      <c r="I184" s="297" t="s">
        <v>3235</v>
      </c>
      <c r="J184" s="45" t="str">
        <f t="shared" si="4"/>
        <v>GoldSingapore Tanaka</v>
      </c>
      <c r="K184" s="45" t="str">
        <f t="shared" si="5"/>
        <v>GoldSingapore Tanaka</v>
      </c>
      <c r="L184" s="243"/>
    </row>
    <row r="185" spans="1:12" ht="10.5" customHeight="1">
      <c r="A185" s="297" t="s">
        <v>2290</v>
      </c>
      <c r="B185" s="297" t="s">
        <v>2647</v>
      </c>
      <c r="C185" s="297" t="s">
        <v>2647</v>
      </c>
      <c r="D185" s="297" t="s">
        <v>4878</v>
      </c>
      <c r="E185" s="297" t="s">
        <v>2648</v>
      </c>
      <c r="F185" s="297" t="s">
        <v>3060</v>
      </c>
      <c r="G185" s="297"/>
      <c r="H185" s="297" t="s">
        <v>3284</v>
      </c>
      <c r="I185" s="297" t="s">
        <v>3285</v>
      </c>
      <c r="J185" s="46" t="str">
        <f t="shared" si="4"/>
        <v>GoldSingway Technology Co., Ltd.</v>
      </c>
      <c r="K185" s="45" t="str">
        <f t="shared" si="5"/>
        <v>GoldSingway Technology Co., Ltd.</v>
      </c>
      <c r="L185" s="243"/>
    </row>
    <row r="186" spans="1:12" ht="10.5" customHeight="1">
      <c r="A186" s="297" t="s">
        <v>2290</v>
      </c>
      <c r="B186" s="297" t="s">
        <v>1906</v>
      </c>
      <c r="C186" s="297" t="s">
        <v>76</v>
      </c>
      <c r="D186" s="297" t="s">
        <v>2217</v>
      </c>
      <c r="E186" s="297" t="s">
        <v>1298</v>
      </c>
      <c r="F186" s="297" t="s">
        <v>3060</v>
      </c>
      <c r="G186" s="297"/>
      <c r="H186" s="297" t="s">
        <v>3232</v>
      </c>
      <c r="I186" s="297" t="s">
        <v>4169</v>
      </c>
      <c r="J186" s="45" t="str">
        <f t="shared" si="4"/>
        <v>GoldSMM</v>
      </c>
      <c r="K186" s="45" t="str">
        <f t="shared" si="5"/>
        <v>GoldSMM</v>
      </c>
      <c r="L186" s="243"/>
    </row>
    <row r="187" spans="1:12" ht="10.5" customHeight="1">
      <c r="A187" s="297" t="s">
        <v>2290</v>
      </c>
      <c r="B187" s="297" t="s">
        <v>1294</v>
      </c>
      <c r="C187" s="297" t="s">
        <v>1294</v>
      </c>
      <c r="D187" s="297" t="s">
        <v>4880</v>
      </c>
      <c r="E187" s="297" t="s">
        <v>1295</v>
      </c>
      <c r="F187" s="297" t="s">
        <v>3060</v>
      </c>
      <c r="G187" s="297"/>
      <c r="H187" s="297" t="s">
        <v>3227</v>
      </c>
      <c r="I187" s="297" t="s">
        <v>3165</v>
      </c>
      <c r="J187" s="45" t="str">
        <f t="shared" si="4"/>
        <v>GoldSo Accurate Group, Inc.</v>
      </c>
      <c r="K187" s="45" t="str">
        <f t="shared" si="5"/>
        <v>GoldSo Accurate Group, Inc.</v>
      </c>
      <c r="L187" s="243"/>
    </row>
    <row r="188" spans="1:12" ht="10.5" customHeight="1">
      <c r="A188" s="297" t="s">
        <v>2290</v>
      </c>
      <c r="B188" s="297" t="s">
        <v>1767</v>
      </c>
      <c r="C188" s="297" t="s">
        <v>1767</v>
      </c>
      <c r="D188" s="297" t="s">
        <v>1690</v>
      </c>
      <c r="E188" s="297" t="s">
        <v>1296</v>
      </c>
      <c r="F188" s="297" t="s">
        <v>3060</v>
      </c>
      <c r="G188" s="297"/>
      <c r="H188" s="297" t="s">
        <v>3228</v>
      </c>
      <c r="I188" s="297" t="s">
        <v>3229</v>
      </c>
      <c r="J188" s="45" t="str">
        <f t="shared" si="4"/>
        <v>GoldSOE Shyolkovsky Factory of Secondary Precious Metals</v>
      </c>
      <c r="K188" s="45" t="str">
        <f t="shared" si="5"/>
        <v>GoldSOE Shyolkovsky Factory of Secondary Precious Metals</v>
      </c>
      <c r="L188" s="243"/>
    </row>
    <row r="189" spans="1:12" ht="10.5" customHeight="1">
      <c r="A189" s="297" t="s">
        <v>2290</v>
      </c>
      <c r="B189" s="297" t="s">
        <v>1768</v>
      </c>
      <c r="C189" s="297" t="s">
        <v>1768</v>
      </c>
      <c r="D189" s="297" t="s">
        <v>4878</v>
      </c>
      <c r="E189" s="297" t="s">
        <v>1297</v>
      </c>
      <c r="F189" s="297" t="s">
        <v>3060</v>
      </c>
      <c r="G189" s="297"/>
      <c r="H189" s="297" t="s">
        <v>3230</v>
      </c>
      <c r="I189" s="297" t="s">
        <v>3231</v>
      </c>
      <c r="J189" s="45" t="str">
        <f t="shared" si="4"/>
        <v>GoldSolar Applied Materials Technology Corp.</v>
      </c>
      <c r="K189" s="45" t="str">
        <f t="shared" si="5"/>
        <v>GoldSolar Applied Materials Technology Corp.</v>
      </c>
      <c r="L189" s="243"/>
    </row>
    <row r="190" spans="1:12" ht="10.5" customHeight="1">
      <c r="A190" s="297" t="s">
        <v>2290</v>
      </c>
      <c r="B190" s="297" t="s">
        <v>43</v>
      </c>
      <c r="C190" s="297" t="s">
        <v>1768</v>
      </c>
      <c r="D190" s="297" t="s">
        <v>4878</v>
      </c>
      <c r="E190" s="297" t="s">
        <v>1297</v>
      </c>
      <c r="F190" s="297" t="s">
        <v>3060</v>
      </c>
      <c r="G190" s="297"/>
      <c r="H190" s="297" t="s">
        <v>3230</v>
      </c>
      <c r="I190" s="297" t="s">
        <v>3231</v>
      </c>
      <c r="J190" s="45" t="str">
        <f t="shared" si="4"/>
        <v>GoldSOLAR CHEMICALAPPLIED MATERIALS TECHNOLOGY (KUN SHAN)</v>
      </c>
      <c r="K190" s="45" t="str">
        <f t="shared" si="5"/>
        <v>GoldSOLAR CHEMICALAPPLIED MATERIALS TECHNOLOGY (KUN SHAN)</v>
      </c>
      <c r="L190" s="243"/>
    </row>
    <row r="191" spans="1:12" ht="10.5" customHeight="1">
      <c r="A191" s="297" t="s">
        <v>2290</v>
      </c>
      <c r="B191" s="297" t="s">
        <v>44</v>
      </c>
      <c r="C191" s="297" t="s">
        <v>1768</v>
      </c>
      <c r="D191" s="297" t="s">
        <v>4878</v>
      </c>
      <c r="E191" s="297" t="s">
        <v>1297</v>
      </c>
      <c r="F191" s="297" t="s">
        <v>3060</v>
      </c>
      <c r="G191" s="297"/>
      <c r="H191" s="297" t="s">
        <v>3230</v>
      </c>
      <c r="I191" s="297" t="s">
        <v>3231</v>
      </c>
      <c r="J191" s="45" t="str">
        <f t="shared" si="4"/>
        <v>GoldSolartech</v>
      </c>
      <c r="K191" s="45" t="str">
        <f t="shared" si="5"/>
        <v>GoldSolartech</v>
      </c>
      <c r="L191" s="243"/>
    </row>
    <row r="192" spans="1:12" ht="10.5" customHeight="1">
      <c r="A192" s="297" t="s">
        <v>2290</v>
      </c>
      <c r="B192" s="297" t="s">
        <v>3293</v>
      </c>
      <c r="C192" s="297" t="s">
        <v>3293</v>
      </c>
      <c r="D192" s="297" t="s">
        <v>1693</v>
      </c>
      <c r="E192" s="297" t="s">
        <v>3294</v>
      </c>
      <c r="F192" s="297" t="s">
        <v>3060</v>
      </c>
      <c r="G192" s="297"/>
      <c r="H192" s="297" t="s">
        <v>3295</v>
      </c>
      <c r="I192" s="297" t="s">
        <v>3296</v>
      </c>
      <c r="J192" s="45" t="str">
        <f t="shared" si="4"/>
        <v>GoldSudan Gold Refinery</v>
      </c>
      <c r="K192" s="45" t="str">
        <f t="shared" si="5"/>
        <v>GoldSudan Gold Refinery</v>
      </c>
      <c r="L192" s="243"/>
    </row>
    <row r="193" spans="1:12" ht="10.5" customHeight="1">
      <c r="A193" s="297" t="s">
        <v>2290</v>
      </c>
      <c r="B193" s="297" t="s">
        <v>4185</v>
      </c>
      <c r="C193" s="297" t="s">
        <v>76</v>
      </c>
      <c r="D193" s="297" t="s">
        <v>2217</v>
      </c>
      <c r="E193" s="297" t="s">
        <v>1298</v>
      </c>
      <c r="F193" s="297" t="s">
        <v>3060</v>
      </c>
      <c r="G193" s="297"/>
      <c r="H193" s="297" t="s">
        <v>3232</v>
      </c>
      <c r="I193" s="297" t="s">
        <v>4169</v>
      </c>
      <c r="J193" s="45" t="str">
        <f t="shared" si="4"/>
        <v>GoldSumitomo Kinzoku Kozan K.K.</v>
      </c>
      <c r="K193" s="45" t="str">
        <f t="shared" si="5"/>
        <v>GoldSumitomo Kinzoku Kozan K.K.</v>
      </c>
      <c r="L193" s="243"/>
    </row>
    <row r="194" spans="1:12" ht="10.5" customHeight="1">
      <c r="A194" s="297" t="s">
        <v>2290</v>
      </c>
      <c r="B194" s="297" t="s">
        <v>76</v>
      </c>
      <c r="C194" s="297" t="s">
        <v>76</v>
      </c>
      <c r="D194" s="297" t="s">
        <v>2217</v>
      </c>
      <c r="E194" s="297" t="s">
        <v>1298</v>
      </c>
      <c r="F194" s="297" t="s">
        <v>3060</v>
      </c>
      <c r="G194" s="297"/>
      <c r="H194" s="297" t="s">
        <v>3232</v>
      </c>
      <c r="I194" s="297" t="s">
        <v>4169</v>
      </c>
      <c r="J194" s="45" t="str">
        <f t="shared" si="4"/>
        <v>GoldSumitomo Metal Mining Co., Ltd.</v>
      </c>
      <c r="K194" s="45" t="str">
        <f t="shared" si="5"/>
        <v>GoldSumitomo Metal Mining Co., Ltd.</v>
      </c>
      <c r="L194" s="243"/>
    </row>
    <row r="195" spans="1:12" ht="10.5" customHeight="1">
      <c r="A195" s="297" t="s">
        <v>2290</v>
      </c>
      <c r="B195" s="297" t="s">
        <v>4926</v>
      </c>
      <c r="C195" s="297" t="s">
        <v>4926</v>
      </c>
      <c r="D195" s="297" t="s">
        <v>4876</v>
      </c>
      <c r="E195" s="297" t="s">
        <v>4925</v>
      </c>
      <c r="F195" s="297" t="s">
        <v>3060</v>
      </c>
      <c r="G195" s="297"/>
      <c r="H195" s="297" t="s">
        <v>4927</v>
      </c>
      <c r="I195" s="297" t="s">
        <v>4928</v>
      </c>
      <c r="J195" s="45" t="str">
        <f t="shared" si="4"/>
        <v>GoldSungEel HiTech</v>
      </c>
      <c r="K195" s="45" t="str">
        <f t="shared" si="5"/>
        <v>GoldSungEel HiTech</v>
      </c>
      <c r="L195" s="243"/>
    </row>
    <row r="196" spans="1:12" ht="10.5" customHeight="1">
      <c r="A196" s="297" t="s">
        <v>2290</v>
      </c>
      <c r="B196" s="297" t="s">
        <v>4176</v>
      </c>
      <c r="C196" s="297" t="s">
        <v>4176</v>
      </c>
      <c r="D196" s="297" t="s">
        <v>2214</v>
      </c>
      <c r="E196" s="297" t="s">
        <v>3297</v>
      </c>
      <c r="F196" s="297" t="s">
        <v>3060</v>
      </c>
      <c r="G196" s="297"/>
      <c r="H196" s="297" t="s">
        <v>3298</v>
      </c>
      <c r="I196" s="297" t="s">
        <v>3099</v>
      </c>
      <c r="J196" s="45" t="str">
        <f t="shared" si="4"/>
        <v>GoldT.C.A S.p.A</v>
      </c>
      <c r="K196" s="45" t="str">
        <f t="shared" si="5"/>
        <v>GoldT.C.A S.p.A</v>
      </c>
      <c r="L196" s="243"/>
    </row>
    <row r="197" spans="1:12" ht="10.5" customHeight="1">
      <c r="A197" s="297" t="s">
        <v>2290</v>
      </c>
      <c r="B197" s="297" t="s">
        <v>4574</v>
      </c>
      <c r="C197" s="297" t="s">
        <v>2421</v>
      </c>
      <c r="D197" s="297" t="s">
        <v>2217</v>
      </c>
      <c r="E197" s="297" t="s">
        <v>1274</v>
      </c>
      <c r="F197" s="297" t="s">
        <v>3060</v>
      </c>
      <c r="G197" s="297"/>
      <c r="H197" s="297" t="s">
        <v>3182</v>
      </c>
      <c r="I197" s="297" t="s">
        <v>3181</v>
      </c>
      <c r="J197" s="45" t="str">
        <f t="shared" ref="J197:J262" si="6">A197&amp;B197</f>
        <v>GoldTakehara Refinery</v>
      </c>
      <c r="K197" s="45" t="str">
        <f t="shared" ref="K197:K262" si="7">A197&amp;B197</f>
        <v>GoldTakehara Refinery</v>
      </c>
      <c r="L197" s="243"/>
    </row>
    <row r="198" spans="1:12" ht="10.5" customHeight="1">
      <c r="A198" s="297" t="s">
        <v>2290</v>
      </c>
      <c r="B198" s="297" t="s">
        <v>4566</v>
      </c>
      <c r="C198" s="297" t="s">
        <v>72</v>
      </c>
      <c r="D198" s="297" t="s">
        <v>2217</v>
      </c>
      <c r="E198" s="297" t="s">
        <v>1255</v>
      </c>
      <c r="F198" s="297" t="s">
        <v>3060</v>
      </c>
      <c r="G198" s="297"/>
      <c r="H198" s="297" t="s">
        <v>4708</v>
      </c>
      <c r="I198" s="297" t="s">
        <v>4708</v>
      </c>
      <c r="J198" s="45" t="str">
        <f t="shared" si="6"/>
        <v>GoldTamano Smelter</v>
      </c>
      <c r="K198" s="45" t="str">
        <f t="shared" si="7"/>
        <v>GoldTamano Smelter</v>
      </c>
      <c r="L198" s="243"/>
    </row>
    <row r="199" spans="1:12" ht="10.5" customHeight="1">
      <c r="A199" s="297" t="s">
        <v>2290</v>
      </c>
      <c r="B199" s="297" t="s">
        <v>4186</v>
      </c>
      <c r="C199" s="297" t="s">
        <v>2424</v>
      </c>
      <c r="D199" s="297" t="s">
        <v>2217</v>
      </c>
      <c r="E199" s="297" t="s">
        <v>1299</v>
      </c>
      <c r="F199" s="297" t="s">
        <v>3060</v>
      </c>
      <c r="G199" s="297"/>
      <c r="H199" s="297" t="s">
        <v>3234</v>
      </c>
      <c r="I199" s="297" t="s">
        <v>3235</v>
      </c>
      <c r="J199" s="45" t="str">
        <f t="shared" si="6"/>
        <v>GoldTanaka Denshi Kogyo K.K</v>
      </c>
      <c r="K199" s="45" t="str">
        <f t="shared" si="7"/>
        <v>GoldTanaka Denshi Kogyo K.K</v>
      </c>
      <c r="L199" s="243"/>
    </row>
    <row r="200" spans="1:12" ht="10.5" customHeight="1">
      <c r="A200" s="297" t="s">
        <v>2290</v>
      </c>
      <c r="B200" s="297" t="s">
        <v>4590</v>
      </c>
      <c r="C200" s="297" t="s">
        <v>2424</v>
      </c>
      <c r="D200" s="297" t="s">
        <v>2217</v>
      </c>
      <c r="E200" s="297" t="s">
        <v>1299</v>
      </c>
      <c r="F200" s="297" t="s">
        <v>3060</v>
      </c>
      <c r="G200" s="297"/>
      <c r="H200" s="297" t="s">
        <v>3234</v>
      </c>
      <c r="I200" s="297" t="s">
        <v>3235</v>
      </c>
      <c r="J200" s="45" t="str">
        <f t="shared" si="6"/>
        <v>GoldTanaka Electronics (Hong Kong) Pte. Ltd.</v>
      </c>
      <c r="K200" s="45" t="str">
        <f t="shared" si="7"/>
        <v>GoldTanaka Electronics (Hong Kong) Pte. Ltd.</v>
      </c>
      <c r="L200" s="243"/>
    </row>
    <row r="201" spans="1:12" ht="10.5" customHeight="1">
      <c r="A201" s="297" t="s">
        <v>2290</v>
      </c>
      <c r="B201" s="297" t="s">
        <v>4626</v>
      </c>
      <c r="C201" s="297" t="s">
        <v>2424</v>
      </c>
      <c r="D201" s="297" t="s">
        <v>2217</v>
      </c>
      <c r="E201" s="297" t="s">
        <v>1299</v>
      </c>
      <c r="F201" s="297" t="s">
        <v>3060</v>
      </c>
      <c r="G201" s="297"/>
      <c r="H201" s="297" t="s">
        <v>3234</v>
      </c>
      <c r="I201" s="297" t="s">
        <v>3235</v>
      </c>
      <c r="J201" s="45" t="str">
        <f t="shared" si="6"/>
        <v>GoldTANAKA Electronics (Malaysia) SDN. BHD.</v>
      </c>
      <c r="K201" s="45" t="str">
        <f t="shared" si="7"/>
        <v>GoldTANAKA Electronics (Malaysia) SDN. BHD.</v>
      </c>
      <c r="L201" s="243"/>
    </row>
    <row r="202" spans="1:12" ht="10.5" customHeight="1">
      <c r="A202" s="297" t="s">
        <v>2290</v>
      </c>
      <c r="B202" s="297" t="s">
        <v>4591</v>
      </c>
      <c r="C202" s="297" t="s">
        <v>2424</v>
      </c>
      <c r="D202" s="297" t="s">
        <v>2217</v>
      </c>
      <c r="E202" s="297" t="s">
        <v>1299</v>
      </c>
      <c r="F202" s="297" t="s">
        <v>3060</v>
      </c>
      <c r="G202" s="297"/>
      <c r="H202" s="297" t="s">
        <v>3234</v>
      </c>
      <c r="I202" s="297" t="s">
        <v>3235</v>
      </c>
      <c r="J202" s="45" t="str">
        <f t="shared" si="6"/>
        <v>GoldTanaka Electronics (Singapore) Pte. Ltd.</v>
      </c>
      <c r="K202" s="45" t="str">
        <f t="shared" si="7"/>
        <v>GoldTanaka Electronics (Singapore) Pte. Ltd.</v>
      </c>
      <c r="L202" s="243"/>
    </row>
    <row r="203" spans="1:12" ht="10.5" customHeight="1">
      <c r="A203" s="297" t="s">
        <v>2290</v>
      </c>
      <c r="B203" s="297" t="s">
        <v>3236</v>
      </c>
      <c r="C203" s="297" t="s">
        <v>2424</v>
      </c>
      <c r="D203" s="297" t="s">
        <v>2217</v>
      </c>
      <c r="E203" s="297" t="s">
        <v>1299</v>
      </c>
      <c r="F203" s="297" t="s">
        <v>3060</v>
      </c>
      <c r="G203" s="297"/>
      <c r="H203" s="297" t="s">
        <v>3234</v>
      </c>
      <c r="I203" s="297" t="s">
        <v>3235</v>
      </c>
      <c r="J203" s="45" t="str">
        <f t="shared" si="6"/>
        <v>GoldTanaka Kikinzoku International</v>
      </c>
      <c r="K203" s="45" t="str">
        <f t="shared" si="7"/>
        <v>GoldTanaka Kikinzoku International</v>
      </c>
      <c r="L203" s="243"/>
    </row>
    <row r="204" spans="1:12" ht="10.5" customHeight="1">
      <c r="A204" s="297" t="s">
        <v>2290</v>
      </c>
      <c r="B204" s="297" t="s">
        <v>4592</v>
      </c>
      <c r="C204" s="297" t="s">
        <v>2424</v>
      </c>
      <c r="D204" s="297" t="s">
        <v>2217</v>
      </c>
      <c r="E204" s="297" t="s">
        <v>1299</v>
      </c>
      <c r="F204" s="297" t="s">
        <v>3060</v>
      </c>
      <c r="G204" s="297"/>
      <c r="H204" s="297" t="s">
        <v>3234</v>
      </c>
      <c r="I204" s="297" t="s">
        <v>3235</v>
      </c>
      <c r="J204" s="45" t="str">
        <f t="shared" si="6"/>
        <v>GoldTanaka Kikinzoku Kogyo K.K</v>
      </c>
      <c r="K204" s="45" t="str">
        <f t="shared" si="7"/>
        <v>GoldTanaka Kikinzoku Kogyo K.K</v>
      </c>
      <c r="L204" s="243"/>
    </row>
    <row r="205" spans="1:12" ht="10.5" customHeight="1">
      <c r="A205" s="297" t="s">
        <v>2290</v>
      </c>
      <c r="B205" s="297" t="s">
        <v>2424</v>
      </c>
      <c r="C205" s="297" t="s">
        <v>2424</v>
      </c>
      <c r="D205" s="297" t="s">
        <v>2217</v>
      </c>
      <c r="E205" s="297" t="s">
        <v>1299</v>
      </c>
      <c r="F205" s="297" t="s">
        <v>3060</v>
      </c>
      <c r="G205" s="297"/>
      <c r="H205" s="297" t="s">
        <v>3234</v>
      </c>
      <c r="I205" s="297" t="s">
        <v>3235</v>
      </c>
      <c r="J205" s="45" t="str">
        <f t="shared" si="6"/>
        <v>GoldTanaka Kikinzoku Kogyo K.K.</v>
      </c>
      <c r="K205" s="45" t="str">
        <f t="shared" si="7"/>
        <v>GoldTanaka Kikinzoku Kogyo K.K.</v>
      </c>
      <c r="L205" s="243"/>
    </row>
    <row r="206" spans="1:12" ht="10.5" customHeight="1">
      <c r="A206" s="297" t="s">
        <v>2290</v>
      </c>
      <c r="B206" s="297" t="s">
        <v>3237</v>
      </c>
      <c r="C206" s="297" t="s">
        <v>2424</v>
      </c>
      <c r="D206" s="297" t="s">
        <v>2217</v>
      </c>
      <c r="E206" s="297" t="s">
        <v>1299</v>
      </c>
      <c r="F206" s="297" t="s">
        <v>3060</v>
      </c>
      <c r="G206" s="297"/>
      <c r="H206" s="297" t="s">
        <v>3234</v>
      </c>
      <c r="I206" s="297" t="s">
        <v>3235</v>
      </c>
      <c r="J206" s="45" t="str">
        <f t="shared" si="6"/>
        <v>GoldTanaka Precious Metals</v>
      </c>
      <c r="K206" s="45" t="str">
        <f t="shared" si="7"/>
        <v>GoldTanaka Precious Metals</v>
      </c>
      <c r="L206" s="243"/>
    </row>
    <row r="207" spans="1:12" ht="10.5" customHeight="1">
      <c r="A207" s="297" t="s">
        <v>2290</v>
      </c>
      <c r="B207" s="297" t="s">
        <v>1170</v>
      </c>
      <c r="C207" s="297" t="s">
        <v>4178</v>
      </c>
      <c r="D207" s="297" t="s">
        <v>2150</v>
      </c>
      <c r="E207" s="297" t="s">
        <v>1300</v>
      </c>
      <c r="F207" s="297" t="s">
        <v>3060</v>
      </c>
      <c r="G207" s="297"/>
      <c r="H207" s="297" t="s">
        <v>3225</v>
      </c>
      <c r="I207" s="297" t="s">
        <v>3226</v>
      </c>
      <c r="J207" s="45" t="str">
        <f t="shared" si="6"/>
        <v>GoldThe Great Wall Gold and Silver Refinery of China</v>
      </c>
      <c r="K207" s="45" t="str">
        <f t="shared" si="7"/>
        <v>GoldThe Great Wall Gold and Silver Refinery of China</v>
      </c>
      <c r="L207" s="243"/>
    </row>
    <row r="208" spans="1:12" ht="10.5" customHeight="1">
      <c r="A208" s="297" t="s">
        <v>2290</v>
      </c>
      <c r="B208" s="297" t="s">
        <v>1905</v>
      </c>
      <c r="C208" s="297" t="s">
        <v>2289</v>
      </c>
      <c r="D208" s="297" t="s">
        <v>2124</v>
      </c>
      <c r="E208" s="297" t="s">
        <v>1309</v>
      </c>
      <c r="F208" s="297" t="s">
        <v>3060</v>
      </c>
      <c r="G208" s="297"/>
      <c r="H208" s="297" t="s">
        <v>3253</v>
      </c>
      <c r="I208" s="297" t="s">
        <v>3254</v>
      </c>
      <c r="J208" s="45" t="str">
        <f t="shared" si="6"/>
        <v>GoldThe Perth Mint</v>
      </c>
      <c r="K208" s="45" t="str">
        <f t="shared" si="7"/>
        <v>GoldThe Perth Mint</v>
      </c>
      <c r="L208" s="243"/>
    </row>
    <row r="209" spans="1:12" ht="10.5" customHeight="1">
      <c r="A209" s="297" t="s">
        <v>2290</v>
      </c>
      <c r="B209" s="297" t="s">
        <v>4063</v>
      </c>
      <c r="C209" s="297" t="s">
        <v>4063</v>
      </c>
      <c r="D209" s="297" t="s">
        <v>2150</v>
      </c>
      <c r="E209" s="297" t="s">
        <v>1301</v>
      </c>
      <c r="F209" s="297" t="s">
        <v>3060</v>
      </c>
      <c r="G209" s="297"/>
      <c r="H209" s="297" t="s">
        <v>3221</v>
      </c>
      <c r="I209" s="297" t="s">
        <v>3199</v>
      </c>
      <c r="J209" s="45" t="str">
        <f t="shared" si="6"/>
        <v>GoldThe Refinery of Shandong Gold Mining Co., Ltd.</v>
      </c>
      <c r="K209" s="45" t="str">
        <f t="shared" si="7"/>
        <v>GoldThe Refinery of Shandong Gold Mining Co., Ltd.</v>
      </c>
      <c r="L209" s="243"/>
    </row>
    <row r="210" spans="1:12" ht="10.5" customHeight="1">
      <c r="A210" s="297" t="s">
        <v>2290</v>
      </c>
      <c r="B210" s="297" t="s">
        <v>4064</v>
      </c>
      <c r="C210" s="297" t="s">
        <v>4064</v>
      </c>
      <c r="D210" s="297" t="s">
        <v>2217</v>
      </c>
      <c r="E210" s="297" t="s">
        <v>1302</v>
      </c>
      <c r="F210" s="297" t="s">
        <v>3060</v>
      </c>
      <c r="G210" s="297"/>
      <c r="H210" s="297" t="s">
        <v>3240</v>
      </c>
      <c r="I210" s="297" t="s">
        <v>3114</v>
      </c>
      <c r="J210" s="45" t="str">
        <f t="shared" si="6"/>
        <v>GoldTokuriki Honten Co., Ltd.</v>
      </c>
      <c r="K210" s="45" t="str">
        <f t="shared" si="7"/>
        <v>GoldTokuriki Honten Co., Ltd.</v>
      </c>
      <c r="L210" s="243"/>
    </row>
    <row r="211" spans="1:12" ht="10.5" customHeight="1">
      <c r="A211" s="297" t="s">
        <v>2290</v>
      </c>
      <c r="B211" s="297" t="s">
        <v>4136</v>
      </c>
      <c r="C211" s="297" t="s">
        <v>4136</v>
      </c>
      <c r="D211" s="297" t="s">
        <v>2150</v>
      </c>
      <c r="E211" s="297" t="s">
        <v>1303</v>
      </c>
      <c r="F211" s="297" t="s">
        <v>3060</v>
      </c>
      <c r="G211" s="297"/>
      <c r="H211" s="297" t="s">
        <v>3241</v>
      </c>
      <c r="I211" s="297" t="s">
        <v>3242</v>
      </c>
      <c r="J211" s="45" t="str">
        <f t="shared" si="6"/>
        <v>GoldTongling Nonferrous Metals Group Co., Ltd.</v>
      </c>
      <c r="K211" s="45" t="str">
        <f t="shared" si="7"/>
        <v>GoldTongling Nonferrous Metals Group Co., Ltd.</v>
      </c>
      <c r="L211" s="243"/>
    </row>
    <row r="212" spans="1:12" ht="10.5" customHeight="1">
      <c r="A212" s="297" t="s">
        <v>2290</v>
      </c>
      <c r="B212" s="297" t="s">
        <v>3244</v>
      </c>
      <c r="C212" s="297" t="s">
        <v>4136</v>
      </c>
      <c r="D212" s="297" t="s">
        <v>2150</v>
      </c>
      <c r="E212" s="297" t="s">
        <v>1303</v>
      </c>
      <c r="F212" s="297" t="s">
        <v>3060</v>
      </c>
      <c r="G212" s="297"/>
      <c r="H212" s="297" t="s">
        <v>3241</v>
      </c>
      <c r="I212" s="297" t="s">
        <v>3242</v>
      </c>
      <c r="J212" s="45" t="str">
        <f t="shared" si="6"/>
        <v>GoldTongLing Nonferrous Metals Group Holdings Co., Ltd.</v>
      </c>
      <c r="K212" s="45" t="str">
        <f t="shared" si="7"/>
        <v>GoldTongLing Nonferrous Metals Group Holdings Co., Ltd.</v>
      </c>
      <c r="L212" s="243"/>
    </row>
    <row r="213" spans="1:12" ht="10.5" customHeight="1">
      <c r="A213" s="297" t="s">
        <v>2290</v>
      </c>
      <c r="B213" s="297" t="s">
        <v>4232</v>
      </c>
      <c r="C213" s="297" t="s">
        <v>4232</v>
      </c>
      <c r="D213" s="297" t="s">
        <v>2128</v>
      </c>
      <c r="E213" s="297" t="s">
        <v>4233</v>
      </c>
      <c r="F213" s="297" t="s">
        <v>3060</v>
      </c>
      <c r="G213" s="297"/>
      <c r="H213" s="297" t="s">
        <v>3250</v>
      </c>
      <c r="I213" s="297" t="s">
        <v>3250</v>
      </c>
      <c r="J213" s="45" t="str">
        <f t="shared" si="6"/>
        <v>GoldTony Goetz NV</v>
      </c>
      <c r="K213" s="45" t="str">
        <f t="shared" si="7"/>
        <v>GoldTony Goetz NV</v>
      </c>
      <c r="L213" s="243"/>
    </row>
    <row r="214" spans="1:12" ht="10.5" customHeight="1">
      <c r="A214" s="297" t="s">
        <v>2290</v>
      </c>
      <c r="B214" s="297" t="s">
        <v>4593</v>
      </c>
      <c r="C214" s="297" t="s">
        <v>4593</v>
      </c>
      <c r="D214" s="297" t="s">
        <v>2218</v>
      </c>
      <c r="E214" s="297" t="s">
        <v>4594</v>
      </c>
      <c r="F214" s="297" t="s">
        <v>3060</v>
      </c>
      <c r="G214" s="297"/>
      <c r="H214" s="297" t="s">
        <v>4595</v>
      </c>
      <c r="I214" s="297" t="s">
        <v>4596</v>
      </c>
      <c r="J214" s="45" t="str">
        <f t="shared" si="6"/>
        <v>GoldTOO Tau-Ken-Altyn</v>
      </c>
      <c r="K214" s="45" t="str">
        <f t="shared" si="7"/>
        <v>GoldTOO Tau-Ken-Altyn</v>
      </c>
      <c r="L214" s="243"/>
    </row>
    <row r="215" spans="1:12" ht="10.5" customHeight="1">
      <c r="A215" s="297" t="s">
        <v>2290</v>
      </c>
      <c r="B215" s="297" t="s">
        <v>1149</v>
      </c>
      <c r="C215" s="297" t="s">
        <v>1149</v>
      </c>
      <c r="D215" s="297" t="s">
        <v>4876</v>
      </c>
      <c r="E215" s="297" t="s">
        <v>1304</v>
      </c>
      <c r="F215" s="297" t="s">
        <v>3060</v>
      </c>
      <c r="G215" s="297"/>
      <c r="H215" s="297" t="s">
        <v>3245</v>
      </c>
      <c r="I215" s="297" t="s">
        <v>3246</v>
      </c>
      <c r="J215" s="45" t="str">
        <f t="shared" si="6"/>
        <v>GoldTorecom</v>
      </c>
      <c r="K215" s="45" t="str">
        <f t="shared" si="7"/>
        <v>GoldTorecom</v>
      </c>
      <c r="L215" s="243"/>
    </row>
    <row r="216" spans="1:12" ht="10.5" customHeight="1">
      <c r="A216" s="297" t="s">
        <v>2290</v>
      </c>
      <c r="B216" s="297" t="s">
        <v>3233</v>
      </c>
      <c r="C216" s="297" t="s">
        <v>76</v>
      </c>
      <c r="D216" s="297" t="s">
        <v>2217</v>
      </c>
      <c r="E216" s="297" t="s">
        <v>1298</v>
      </c>
      <c r="F216" s="297" t="s">
        <v>3060</v>
      </c>
      <c r="G216" s="297"/>
      <c r="H216" s="297" t="s">
        <v>3232</v>
      </c>
      <c r="I216" s="297" t="s">
        <v>4169</v>
      </c>
      <c r="J216" s="45" t="str">
        <f t="shared" si="6"/>
        <v>GoldToyo Smelter &amp; Refinery</v>
      </c>
      <c r="K216" s="45" t="str">
        <f t="shared" si="7"/>
        <v>GoldToyo Smelter &amp; Refinery</v>
      </c>
      <c r="L216" s="243"/>
    </row>
    <row r="217" spans="1:12" ht="10.5" customHeight="1">
      <c r="A217" s="297" t="s">
        <v>2290</v>
      </c>
      <c r="B217" s="297" t="s">
        <v>4065</v>
      </c>
      <c r="C217" s="297" t="s">
        <v>4065</v>
      </c>
      <c r="D217" s="297" t="s">
        <v>2139</v>
      </c>
      <c r="E217" s="297" t="s">
        <v>1305</v>
      </c>
      <c r="F217" s="297" t="s">
        <v>3060</v>
      </c>
      <c r="G217" s="297"/>
      <c r="H217" s="297" t="s">
        <v>3247</v>
      </c>
      <c r="I217" s="297" t="s">
        <v>3248</v>
      </c>
      <c r="J217" s="45" t="str">
        <f t="shared" si="6"/>
        <v>GoldUmicore Brasil Ltda.</v>
      </c>
      <c r="K217" s="45" t="str">
        <f t="shared" si="7"/>
        <v>GoldUmicore Brasil Ltda.</v>
      </c>
      <c r="L217" s="243"/>
    </row>
    <row r="218" spans="1:12" ht="10.5" customHeight="1">
      <c r="A218" s="297" t="s">
        <v>2290</v>
      </c>
      <c r="B218" s="297" t="s">
        <v>204</v>
      </c>
      <c r="C218" s="297" t="s">
        <v>204</v>
      </c>
      <c r="D218" s="297" t="s">
        <v>1716</v>
      </c>
      <c r="E218" s="297" t="s">
        <v>205</v>
      </c>
      <c r="F218" s="297" t="s">
        <v>3060</v>
      </c>
      <c r="G218" s="297"/>
      <c r="H218" s="297" t="s">
        <v>3272</v>
      </c>
      <c r="I218" s="297" t="s">
        <v>3273</v>
      </c>
      <c r="J218" s="45" t="str">
        <f t="shared" si="6"/>
        <v>GoldUmicore Precious Metals Thailand</v>
      </c>
      <c r="K218" s="45" t="str">
        <f t="shared" si="7"/>
        <v>GoldUmicore Precious Metals Thailand</v>
      </c>
      <c r="L218" s="243"/>
    </row>
    <row r="219" spans="1:12" ht="10.5" customHeight="1">
      <c r="A219" s="297" t="s">
        <v>2290</v>
      </c>
      <c r="B219" s="297" t="s">
        <v>4597</v>
      </c>
      <c r="C219" s="297" t="s">
        <v>4597</v>
      </c>
      <c r="D219" s="297" t="s">
        <v>2128</v>
      </c>
      <c r="E219" s="297" t="s">
        <v>1306</v>
      </c>
      <c r="F219" s="297" t="s">
        <v>3060</v>
      </c>
      <c r="G219" s="297"/>
      <c r="H219" s="297" t="s">
        <v>3249</v>
      </c>
      <c r="I219" s="297" t="s">
        <v>3250</v>
      </c>
      <c r="J219" s="45" t="str">
        <f t="shared" si="6"/>
        <v>GoldUmicore S.A. Business Unit Precious Metals Refining</v>
      </c>
      <c r="K219" s="45" t="str">
        <f t="shared" si="7"/>
        <v>GoldUmicore S.A. Business Unit Precious Metals Refining</v>
      </c>
      <c r="L219" s="243"/>
    </row>
    <row r="220" spans="1:12" ht="10.5" customHeight="1">
      <c r="A220" s="297" t="s">
        <v>2290</v>
      </c>
      <c r="B220" s="297" t="s">
        <v>1444</v>
      </c>
      <c r="C220" s="297" t="s">
        <v>1444</v>
      </c>
      <c r="D220" s="297" t="s">
        <v>4880</v>
      </c>
      <c r="E220" s="297" t="s">
        <v>1307</v>
      </c>
      <c r="F220" s="297" t="s">
        <v>3060</v>
      </c>
      <c r="G220" s="297"/>
      <c r="H220" s="297" t="s">
        <v>3251</v>
      </c>
      <c r="I220" s="297" t="s">
        <v>3165</v>
      </c>
      <c r="J220" s="45" t="str">
        <f t="shared" si="6"/>
        <v>GoldUnited Precious Metal Refining, Inc.</v>
      </c>
      <c r="K220" s="45" t="str">
        <f t="shared" si="7"/>
        <v>GoldUnited Precious Metal Refining, Inc.</v>
      </c>
      <c r="L220" s="243"/>
    </row>
    <row r="221" spans="1:12" ht="10.5" customHeight="1">
      <c r="A221" s="297" t="s">
        <v>2290</v>
      </c>
      <c r="B221" s="297" t="s">
        <v>4598</v>
      </c>
      <c r="C221" s="297" t="s">
        <v>4598</v>
      </c>
      <c r="D221" s="297" t="s">
        <v>1745</v>
      </c>
      <c r="E221" s="297" t="s">
        <v>4599</v>
      </c>
      <c r="F221" s="297" t="s">
        <v>3060</v>
      </c>
      <c r="G221" s="297"/>
      <c r="H221" s="297" t="s">
        <v>4600</v>
      </c>
      <c r="I221" s="297" t="s">
        <v>4633</v>
      </c>
      <c r="J221" s="45" t="str">
        <f t="shared" si="6"/>
        <v>GoldUniversal Precious Metals Refining Zambia</v>
      </c>
      <c r="K221" s="45" t="str">
        <f t="shared" si="7"/>
        <v>GoldUniversal Precious Metals Refining Zambia</v>
      </c>
      <c r="L221" s="243"/>
    </row>
    <row r="222" spans="1:12" ht="10.5" customHeight="1">
      <c r="A222" s="297" t="s">
        <v>2290</v>
      </c>
      <c r="B222" s="297" t="s">
        <v>4601</v>
      </c>
      <c r="C222" s="297" t="s">
        <v>4601</v>
      </c>
      <c r="D222" s="297" t="s">
        <v>2148</v>
      </c>
      <c r="E222" s="297" t="s">
        <v>1308</v>
      </c>
      <c r="F222" s="297" t="s">
        <v>3060</v>
      </c>
      <c r="G222" s="297"/>
      <c r="H222" s="297" t="s">
        <v>3252</v>
      </c>
      <c r="I222" s="297" t="s">
        <v>3073</v>
      </c>
      <c r="J222" s="45" t="str">
        <f t="shared" si="6"/>
        <v>GoldValcambi S.A.</v>
      </c>
      <c r="K222" s="45" t="str">
        <f t="shared" si="7"/>
        <v>GoldValcambi S.A.</v>
      </c>
      <c r="L222" s="243"/>
    </row>
    <row r="223" spans="1:12" ht="10.5" customHeight="1">
      <c r="A223" s="297" t="s">
        <v>2290</v>
      </c>
      <c r="B223" s="297" t="s">
        <v>2289</v>
      </c>
      <c r="C223" s="297" t="s">
        <v>2289</v>
      </c>
      <c r="D223" s="297" t="s">
        <v>2124</v>
      </c>
      <c r="E223" s="297" t="s">
        <v>1309</v>
      </c>
      <c r="F223" s="297" t="s">
        <v>3060</v>
      </c>
      <c r="G223" s="297"/>
      <c r="H223" s="297" t="s">
        <v>3253</v>
      </c>
      <c r="I223" s="297" t="s">
        <v>3254</v>
      </c>
      <c r="J223" s="45" t="str">
        <f t="shared" si="6"/>
        <v>GoldWestern Australian Mint trading as The Perth Mint</v>
      </c>
      <c r="K223" s="45" t="str">
        <f t="shared" si="7"/>
        <v>GoldWestern Australian Mint trading as The Perth Mint</v>
      </c>
      <c r="L223" s="243"/>
    </row>
    <row r="224" spans="1:12" ht="10.5" customHeight="1">
      <c r="A224" s="297" t="s">
        <v>2290</v>
      </c>
      <c r="B224" s="297" t="s">
        <v>4156</v>
      </c>
      <c r="C224" s="297" t="s">
        <v>4156</v>
      </c>
      <c r="D224" s="297" t="s">
        <v>2164</v>
      </c>
      <c r="E224" s="297" t="s">
        <v>4159</v>
      </c>
      <c r="F224" s="297" t="s">
        <v>3060</v>
      </c>
      <c r="G224" s="297"/>
      <c r="H224" s="297" t="s">
        <v>3065</v>
      </c>
      <c r="I224" s="297" t="s">
        <v>3066</v>
      </c>
      <c r="J224" s="45" t="str">
        <f t="shared" si="6"/>
        <v>GoldWIELAND Edelmetalle GmbH</v>
      </c>
      <c r="K224" s="45" t="str">
        <f t="shared" si="7"/>
        <v>GoldWIELAND Edelmetalle GmbH</v>
      </c>
      <c r="L224" s="243"/>
    </row>
    <row r="225" spans="1:12" ht="10.5" customHeight="1">
      <c r="A225" s="297" t="s">
        <v>2290</v>
      </c>
      <c r="B225" s="297" t="s">
        <v>45</v>
      </c>
      <c r="C225" s="297" t="s">
        <v>1763</v>
      </c>
      <c r="D225" s="297" t="s">
        <v>4880</v>
      </c>
      <c r="E225" s="297" t="s">
        <v>1266</v>
      </c>
      <c r="F225" s="297" t="s">
        <v>3060</v>
      </c>
      <c r="G225" s="297"/>
      <c r="H225" s="297" t="s">
        <v>3164</v>
      </c>
      <c r="I225" s="297" t="s">
        <v>3165</v>
      </c>
      <c r="J225" s="45" t="str">
        <f t="shared" si="6"/>
        <v>GoldWilliams Advanced Materials</v>
      </c>
      <c r="K225" s="45" t="str">
        <f t="shared" si="7"/>
        <v>GoldWilliams Advanced Materials</v>
      </c>
      <c r="L225" s="243"/>
    </row>
    <row r="226" spans="1:12" ht="10.5" customHeight="1">
      <c r="A226" s="297" t="s">
        <v>2290</v>
      </c>
      <c r="B226" s="297" t="s">
        <v>3092</v>
      </c>
      <c r="C226" s="297" t="s">
        <v>4207</v>
      </c>
      <c r="D226" s="297" t="s">
        <v>2146</v>
      </c>
      <c r="E226" s="297" t="s">
        <v>1226</v>
      </c>
      <c r="F226" s="297" t="s">
        <v>3060</v>
      </c>
      <c r="G226" s="297"/>
      <c r="H226" s="297" t="s">
        <v>3089</v>
      </c>
      <c r="I226" s="297" t="s">
        <v>3090</v>
      </c>
      <c r="J226" s="45" t="str">
        <f t="shared" si="6"/>
        <v>GoldXstrata</v>
      </c>
      <c r="K226" s="45" t="str">
        <f t="shared" si="7"/>
        <v>GoldXstrata</v>
      </c>
      <c r="L226" s="243"/>
    </row>
    <row r="227" spans="1:12" ht="10.5" customHeight="1">
      <c r="A227" s="297" t="s">
        <v>2290</v>
      </c>
      <c r="B227" s="297" t="s">
        <v>4067</v>
      </c>
      <c r="C227" s="297" t="s">
        <v>4067</v>
      </c>
      <c r="D227" s="297" t="s">
        <v>2217</v>
      </c>
      <c r="E227" s="297" t="s">
        <v>1310</v>
      </c>
      <c r="F227" s="297" t="s">
        <v>3060</v>
      </c>
      <c r="G227" s="297"/>
      <c r="H227" s="297" t="s">
        <v>3136</v>
      </c>
      <c r="I227" s="297" t="s">
        <v>3137</v>
      </c>
      <c r="J227" s="45" t="str">
        <f t="shared" si="6"/>
        <v>GoldYamamoto Precious Metal Co., Ltd.</v>
      </c>
      <c r="K227" s="45" t="str">
        <f t="shared" si="7"/>
        <v>GoldYamamoto Precious Metal Co., Ltd.</v>
      </c>
      <c r="L227" s="243"/>
    </row>
    <row r="228" spans="1:12" ht="10.5" customHeight="1">
      <c r="A228" s="297" t="s">
        <v>2290</v>
      </c>
      <c r="B228" s="297" t="s">
        <v>3259</v>
      </c>
      <c r="C228" s="297" t="s">
        <v>4067</v>
      </c>
      <c r="D228" s="297" t="s">
        <v>2217</v>
      </c>
      <c r="E228" s="297" t="s">
        <v>1310</v>
      </c>
      <c r="F228" s="297" t="s">
        <v>3060</v>
      </c>
      <c r="G228" s="297"/>
      <c r="H228" s="297" t="s">
        <v>3136</v>
      </c>
      <c r="I228" s="297" t="s">
        <v>3137</v>
      </c>
      <c r="J228" s="45" t="str">
        <f t="shared" si="6"/>
        <v>GoldYamamoto Precision Metals</v>
      </c>
      <c r="K228" s="45" t="str">
        <f t="shared" si="7"/>
        <v>GoldYamamoto Precision Metals</v>
      </c>
      <c r="L228" s="243"/>
    </row>
    <row r="229" spans="1:12" ht="10.5" customHeight="1">
      <c r="A229" s="297" t="s">
        <v>2290</v>
      </c>
      <c r="B229" s="297" t="s">
        <v>3122</v>
      </c>
      <c r="C229" s="297" t="s">
        <v>3118</v>
      </c>
      <c r="D229" s="297" t="s">
        <v>2150</v>
      </c>
      <c r="E229" s="297" t="s">
        <v>3119</v>
      </c>
      <c r="F229" s="297" t="s">
        <v>3060</v>
      </c>
      <c r="G229" s="297"/>
      <c r="H229" s="297" t="s">
        <v>3120</v>
      </c>
      <c r="I229" s="297" t="s">
        <v>3199</v>
      </c>
      <c r="J229" s="45" t="str">
        <f t="shared" si="6"/>
        <v>GoldYantai NUS Safina tech environmental Refinery Co. Ltd.</v>
      </c>
      <c r="K229" s="45" t="str">
        <f t="shared" si="7"/>
        <v>GoldYantai NUS Safina tech environmental Refinery Co. Ltd.</v>
      </c>
      <c r="L229" s="243"/>
    </row>
    <row r="230" spans="1:12" ht="10.5" customHeight="1">
      <c r="A230" s="297" t="s">
        <v>2290</v>
      </c>
      <c r="B230" s="297" t="s">
        <v>4068</v>
      </c>
      <c r="C230" s="297" t="s">
        <v>4068</v>
      </c>
      <c r="D230" s="297" t="s">
        <v>2217</v>
      </c>
      <c r="E230" s="297" t="s">
        <v>1311</v>
      </c>
      <c r="F230" s="297" t="s">
        <v>3060</v>
      </c>
      <c r="G230" s="297"/>
      <c r="H230" s="297" t="s">
        <v>3260</v>
      </c>
      <c r="I230" s="297" t="s">
        <v>3235</v>
      </c>
      <c r="J230" s="45" t="str">
        <f t="shared" si="6"/>
        <v>GoldYokohama Metal Co., Ltd.</v>
      </c>
      <c r="K230" s="45" t="str">
        <f t="shared" si="7"/>
        <v>GoldYokohama Metal Co., Ltd.</v>
      </c>
      <c r="L230" s="243"/>
    </row>
    <row r="231" spans="1:12" ht="10.5" customHeight="1">
      <c r="A231" s="297" t="s">
        <v>2290</v>
      </c>
      <c r="B231" s="297" t="s">
        <v>4038</v>
      </c>
      <c r="C231" s="297" t="s">
        <v>4038</v>
      </c>
      <c r="D231" s="297" t="s">
        <v>2150</v>
      </c>
      <c r="E231" s="297" t="s">
        <v>1312</v>
      </c>
      <c r="F231" s="297" t="s">
        <v>3060</v>
      </c>
      <c r="G231" s="297"/>
      <c r="H231" s="297" t="s">
        <v>3095</v>
      </c>
      <c r="I231" s="297" t="s">
        <v>3096</v>
      </c>
      <c r="J231" s="45" t="str">
        <f t="shared" si="6"/>
        <v>GoldYunnan Copper Industry Co., Ltd.</v>
      </c>
      <c r="K231" s="45" t="str">
        <f t="shared" si="7"/>
        <v>GoldYunnan Copper Industry Co., Ltd.</v>
      </c>
      <c r="L231" s="243"/>
    </row>
    <row r="232" spans="1:12" ht="10.5" customHeight="1">
      <c r="A232" s="297" t="s">
        <v>2290</v>
      </c>
      <c r="B232" s="297" t="s">
        <v>46</v>
      </c>
      <c r="C232" s="297" t="s">
        <v>4060</v>
      </c>
      <c r="D232" s="297" t="s">
        <v>2150</v>
      </c>
      <c r="E232" s="297" t="s">
        <v>1293</v>
      </c>
      <c r="F232" s="297" t="s">
        <v>3060</v>
      </c>
      <c r="G232" s="297"/>
      <c r="H232" s="297" t="s">
        <v>3120</v>
      </c>
      <c r="I232" s="297" t="s">
        <v>3199</v>
      </c>
      <c r="J232" s="45" t="str">
        <f t="shared" si="6"/>
        <v>GoldZhao Jin Mining Industry Co Ltd</v>
      </c>
      <c r="K232" s="45" t="str">
        <f t="shared" si="7"/>
        <v>GoldZhao Jin Mining Industry Co Ltd</v>
      </c>
      <c r="L232" s="243"/>
    </row>
    <row r="233" spans="1:12" ht="10.5" customHeight="1">
      <c r="A233" s="297" t="s">
        <v>2290</v>
      </c>
      <c r="B233" s="297" t="s">
        <v>47</v>
      </c>
      <c r="C233" s="297" t="s">
        <v>4060</v>
      </c>
      <c r="D233" s="297" t="s">
        <v>2150</v>
      </c>
      <c r="E233" s="297" t="s">
        <v>1293</v>
      </c>
      <c r="F233" s="297" t="s">
        <v>3060</v>
      </c>
      <c r="G233" s="297"/>
      <c r="H233" s="297" t="s">
        <v>3120</v>
      </c>
      <c r="I233" s="297" t="s">
        <v>3199</v>
      </c>
      <c r="J233" s="45" t="str">
        <f t="shared" si="6"/>
        <v>GoldZhao Yuan Gold Mine</v>
      </c>
      <c r="K233" s="45" t="str">
        <f t="shared" si="7"/>
        <v>GoldZhao Yuan Gold Mine</v>
      </c>
      <c r="L233" s="243"/>
    </row>
    <row r="234" spans="1:12" ht="10.5" customHeight="1">
      <c r="A234" s="297" t="s">
        <v>2290</v>
      </c>
      <c r="B234" s="297" t="s">
        <v>3263</v>
      </c>
      <c r="C234" s="297" t="s">
        <v>4060</v>
      </c>
      <c r="D234" s="297" t="s">
        <v>2150</v>
      </c>
      <c r="E234" s="297" t="s">
        <v>1293</v>
      </c>
      <c r="F234" s="297" t="s">
        <v>3060</v>
      </c>
      <c r="G234" s="297"/>
      <c r="H234" s="297" t="s">
        <v>3120</v>
      </c>
      <c r="I234" s="297" t="s">
        <v>3199</v>
      </c>
      <c r="J234" s="45" t="str">
        <f t="shared" si="6"/>
        <v>GoldZhao Yuan Gold Smelter of ZhongJin</v>
      </c>
      <c r="K234" s="45" t="str">
        <f t="shared" si="7"/>
        <v>GoldZhao Yuan Gold Smelter of ZhongJin</v>
      </c>
      <c r="L234" s="243"/>
    </row>
    <row r="235" spans="1:12" ht="10.5" customHeight="1">
      <c r="A235" s="297" t="s">
        <v>2290</v>
      </c>
      <c r="B235" s="297" t="s">
        <v>48</v>
      </c>
      <c r="C235" s="297" t="s">
        <v>4060</v>
      </c>
      <c r="D235" s="297" t="s">
        <v>2150</v>
      </c>
      <c r="E235" s="297" t="s">
        <v>1293</v>
      </c>
      <c r="F235" s="297" t="s">
        <v>3060</v>
      </c>
      <c r="G235" s="297"/>
      <c r="H235" s="297" t="s">
        <v>3120</v>
      </c>
      <c r="I235" s="297" t="s">
        <v>3199</v>
      </c>
      <c r="J235" s="45" t="str">
        <f t="shared" si="6"/>
        <v>GoldZhao Yuan Jin Kuang</v>
      </c>
      <c r="K235" s="45" t="str">
        <f t="shared" si="7"/>
        <v>GoldZhao Yuan Jin Kuang</v>
      </c>
      <c r="L235" s="243"/>
    </row>
    <row r="236" spans="1:12" ht="10.5" customHeight="1">
      <c r="A236" s="297" t="s">
        <v>2290</v>
      </c>
      <c r="B236" s="297" t="s">
        <v>3224</v>
      </c>
      <c r="C236" s="297" t="s">
        <v>4060</v>
      </c>
      <c r="D236" s="297" t="s">
        <v>2150</v>
      </c>
      <c r="E236" s="297" t="s">
        <v>1293</v>
      </c>
      <c r="F236" s="297" t="s">
        <v>3060</v>
      </c>
      <c r="G236" s="297"/>
      <c r="H236" s="297" t="s">
        <v>3120</v>
      </c>
      <c r="I236" s="297" t="s">
        <v>3199</v>
      </c>
      <c r="J236" s="45" t="str">
        <f t="shared" si="6"/>
        <v>GoldZhaojin Mining Industry Co., Ltd.</v>
      </c>
      <c r="K236" s="45" t="str">
        <f t="shared" si="7"/>
        <v>GoldZhaojin Mining Industry Co., Ltd.</v>
      </c>
      <c r="L236" s="243"/>
    </row>
    <row r="237" spans="1:12" ht="10.5" customHeight="1">
      <c r="A237" s="297" t="s">
        <v>2290</v>
      </c>
      <c r="B237" s="297" t="s">
        <v>3264</v>
      </c>
      <c r="C237" s="297" t="s">
        <v>4060</v>
      </c>
      <c r="D237" s="297" t="s">
        <v>2150</v>
      </c>
      <c r="E237" s="297" t="s">
        <v>1293</v>
      </c>
      <c r="F237" s="297" t="s">
        <v>3060</v>
      </c>
      <c r="G237" s="297"/>
      <c r="H237" s="297" t="s">
        <v>3120</v>
      </c>
      <c r="I237" s="297" t="s">
        <v>3199</v>
      </c>
      <c r="J237" s="45" t="str">
        <f t="shared" si="6"/>
        <v>GoldZhaoyuan Gold Group</v>
      </c>
      <c r="K237" s="45" t="str">
        <f t="shared" si="7"/>
        <v>GoldZhaoyuan Gold Group</v>
      </c>
      <c r="L237" s="243"/>
    </row>
    <row r="238" spans="1:12" ht="10.5" customHeight="1">
      <c r="A238" s="297" t="s">
        <v>2290</v>
      </c>
      <c r="B238" s="297" t="s">
        <v>2425</v>
      </c>
      <c r="C238" s="297" t="s">
        <v>2540</v>
      </c>
      <c r="D238" s="297" t="s">
        <v>2150</v>
      </c>
      <c r="E238" s="297" t="s">
        <v>1313</v>
      </c>
      <c r="F238" s="297" t="s">
        <v>3060</v>
      </c>
      <c r="G238" s="297"/>
      <c r="H238" s="297" t="s">
        <v>3261</v>
      </c>
      <c r="I238" s="297" t="s">
        <v>3159</v>
      </c>
      <c r="J238" s="45" t="str">
        <f t="shared" si="6"/>
        <v>GoldZhongjin Gold Corporation Limited</v>
      </c>
      <c r="K238" s="45" t="str">
        <f t="shared" si="7"/>
        <v>GoldZhongjin Gold Corporation Limited</v>
      </c>
      <c r="L238" s="243"/>
    </row>
    <row r="239" spans="1:12" ht="10.5" customHeight="1">
      <c r="A239" s="297" t="s">
        <v>2290</v>
      </c>
      <c r="B239" s="297" t="s">
        <v>2540</v>
      </c>
      <c r="C239" s="297" t="s">
        <v>2540</v>
      </c>
      <c r="D239" s="297" t="s">
        <v>2150</v>
      </c>
      <c r="E239" s="297" t="s">
        <v>1313</v>
      </c>
      <c r="F239" s="297" t="s">
        <v>3060</v>
      </c>
      <c r="G239" s="297"/>
      <c r="H239" s="297" t="s">
        <v>3261</v>
      </c>
      <c r="I239" s="297" t="s">
        <v>3159</v>
      </c>
      <c r="J239" s="45" t="str">
        <f t="shared" si="6"/>
        <v>GoldZhongyuan Gold Smelter of Zhongjin Gold Corporation</v>
      </c>
      <c r="K239" s="45" t="str">
        <f t="shared" si="7"/>
        <v>GoldZhongyuan Gold Smelter of Zhongjin Gold Corporation</v>
      </c>
      <c r="L239" s="243"/>
    </row>
    <row r="240" spans="1:12" ht="10.5" customHeight="1">
      <c r="A240" s="297" t="s">
        <v>2290</v>
      </c>
      <c r="B240" s="297" t="s">
        <v>49</v>
      </c>
      <c r="C240" s="297" t="s">
        <v>4175</v>
      </c>
      <c r="D240" s="297" t="s">
        <v>2150</v>
      </c>
      <c r="E240" s="297" t="s">
        <v>1314</v>
      </c>
      <c r="F240" s="297" t="s">
        <v>3060</v>
      </c>
      <c r="G240" s="297"/>
      <c r="H240" s="297" t="s">
        <v>3266</v>
      </c>
      <c r="I240" s="297" t="s">
        <v>3267</v>
      </c>
      <c r="J240" s="45" t="str">
        <f t="shared" si="6"/>
        <v>GoldZijin Kuang Ye Refinery</v>
      </c>
      <c r="K240" s="45" t="str">
        <f t="shared" si="7"/>
        <v>GoldZijin Kuang Ye Refinery</v>
      </c>
      <c r="L240" s="243"/>
    </row>
    <row r="241" spans="1:12" ht="10.5" customHeight="1">
      <c r="A241" s="297" t="s">
        <v>2290</v>
      </c>
      <c r="B241" s="297" t="s">
        <v>4175</v>
      </c>
      <c r="C241" s="297" t="s">
        <v>4175</v>
      </c>
      <c r="D241" s="297" t="s">
        <v>2150</v>
      </c>
      <c r="E241" s="297" t="s">
        <v>1314</v>
      </c>
      <c r="F241" s="297" t="s">
        <v>3060</v>
      </c>
      <c r="G241" s="297"/>
      <c r="H241" s="297" t="s">
        <v>3266</v>
      </c>
      <c r="I241" s="297" t="s">
        <v>3267</v>
      </c>
      <c r="J241" s="45" t="str">
        <f t="shared" si="6"/>
        <v>GoldZijin Mining Group Co., Ltd. Gold Refinery</v>
      </c>
      <c r="K241" s="45" t="str">
        <f t="shared" si="7"/>
        <v>GoldZijin Mining Group Co., Ltd. Gold Refinery</v>
      </c>
      <c r="L241" s="243"/>
    </row>
    <row r="242" spans="1:12" ht="10.5" customHeight="1">
      <c r="A242" s="297" t="s">
        <v>2290</v>
      </c>
      <c r="B242" s="297" t="s">
        <v>3268</v>
      </c>
      <c r="C242" s="297" t="s">
        <v>4175</v>
      </c>
      <c r="D242" s="297" t="s">
        <v>2150</v>
      </c>
      <c r="E242" s="297" t="s">
        <v>1314</v>
      </c>
      <c r="F242" s="297" t="s">
        <v>3060</v>
      </c>
      <c r="G242" s="297"/>
      <c r="H242" s="297" t="s">
        <v>3266</v>
      </c>
      <c r="I242" s="297" t="s">
        <v>3267</v>
      </c>
      <c r="J242" s="45" t="str">
        <f t="shared" si="6"/>
        <v>GoldZijin Mining Industry Corporation</v>
      </c>
      <c r="K242" s="45" t="str">
        <f t="shared" si="7"/>
        <v>GoldZijin Mining Industry Corporation</v>
      </c>
      <c r="L242" s="243"/>
    </row>
    <row r="243" spans="1:12" ht="10.5" customHeight="1">
      <c r="A243" s="243" t="s">
        <v>2290</v>
      </c>
      <c r="B243" s="243" t="s">
        <v>3517</v>
      </c>
      <c r="C243" s="243"/>
      <c r="D243" s="243"/>
      <c r="E243" s="243"/>
      <c r="F243" s="243"/>
      <c r="G243" s="243"/>
      <c r="H243" s="243"/>
      <c r="I243" s="243"/>
      <c r="J243" s="45" t="str">
        <f t="shared" si="6"/>
        <v>GoldSmelter not listed</v>
      </c>
      <c r="K243" s="45" t="str">
        <f t="shared" si="7"/>
        <v>GoldSmelter not listed</v>
      </c>
    </row>
    <row r="244" spans="1:12" ht="10.5" customHeight="1">
      <c r="A244" s="243" t="s">
        <v>2290</v>
      </c>
      <c r="B244" s="243" t="s">
        <v>2538</v>
      </c>
      <c r="C244" s="243" t="s">
        <v>906</v>
      </c>
      <c r="D244" s="243" t="s">
        <v>906</v>
      </c>
      <c r="E244" s="243"/>
      <c r="F244" s="243"/>
      <c r="G244" s="243"/>
      <c r="H244" s="243"/>
      <c r="I244" s="243"/>
      <c r="J244" s="45" t="str">
        <f t="shared" si="6"/>
        <v>GoldSmelter not yet identified</v>
      </c>
      <c r="K244" s="45" t="str">
        <f t="shared" si="7"/>
        <v>GoldSmelter not yet identified</v>
      </c>
    </row>
    <row r="245" spans="1:12" ht="10.5" customHeight="1">
      <c r="A245" s="297" t="s">
        <v>2292</v>
      </c>
      <c r="B245" s="297" t="s">
        <v>3</v>
      </c>
      <c r="C245" s="297" t="s">
        <v>3</v>
      </c>
      <c r="D245" s="297" t="s">
        <v>2150</v>
      </c>
      <c r="E245" s="297" t="s">
        <v>1315</v>
      </c>
      <c r="F245" s="297" t="s">
        <v>3060</v>
      </c>
      <c r="G245" s="297"/>
      <c r="H245" s="297" t="s">
        <v>3129</v>
      </c>
      <c r="I245" s="297" t="s">
        <v>3121</v>
      </c>
      <c r="J245" s="45" t="str">
        <f t="shared" si="6"/>
        <v>TantalumChangsha South Tantalum Niobium Co., Ltd.</v>
      </c>
      <c r="K245" s="45" t="str">
        <f t="shared" si="7"/>
        <v>TantalumChangsha South Tantalum Niobium Co., Ltd.</v>
      </c>
      <c r="L245" s="243"/>
    </row>
    <row r="246" spans="1:12" ht="10.5" customHeight="1">
      <c r="A246" s="297" t="s">
        <v>2292</v>
      </c>
      <c r="B246" s="297" t="s">
        <v>3301</v>
      </c>
      <c r="C246" s="297" t="s">
        <v>3</v>
      </c>
      <c r="D246" s="297" t="s">
        <v>2150</v>
      </c>
      <c r="E246" s="297" t="s">
        <v>1315</v>
      </c>
      <c r="F246" s="297" t="s">
        <v>3060</v>
      </c>
      <c r="G246" s="297"/>
      <c r="H246" s="297" t="s">
        <v>3129</v>
      </c>
      <c r="I246" s="297" t="s">
        <v>3121</v>
      </c>
      <c r="J246" s="45" t="str">
        <f t="shared" si="6"/>
        <v>TantalumChangsha Southern</v>
      </c>
      <c r="K246" s="45" t="str">
        <f t="shared" si="7"/>
        <v>TantalumChangsha Southern</v>
      </c>
      <c r="L246" s="243"/>
    </row>
    <row r="247" spans="1:12" ht="10.5" customHeight="1">
      <c r="A247" s="297" t="s">
        <v>2292</v>
      </c>
      <c r="B247" s="297" t="s">
        <v>2341</v>
      </c>
      <c r="C247" s="297" t="s">
        <v>2341</v>
      </c>
      <c r="D247" s="297" t="s">
        <v>2150</v>
      </c>
      <c r="E247" s="297" t="s">
        <v>1316</v>
      </c>
      <c r="F247" s="297" t="s">
        <v>3060</v>
      </c>
      <c r="G247" s="297"/>
      <c r="H247" s="297" t="s">
        <v>3302</v>
      </c>
      <c r="I247" s="297" t="s">
        <v>3270</v>
      </c>
      <c r="J247" s="45" t="str">
        <f t="shared" si="6"/>
        <v>TantalumConghua Tantalum and Niobium Smeltry</v>
      </c>
      <c r="K247" s="45" t="str">
        <f t="shared" si="7"/>
        <v>TantalumConghua Tantalum and Niobium Smeltry</v>
      </c>
      <c r="L247" s="243"/>
    </row>
    <row r="248" spans="1:12" ht="10.5" customHeight="1">
      <c r="A248" s="297" t="s">
        <v>2292</v>
      </c>
      <c r="B248" s="297" t="s">
        <v>2649</v>
      </c>
      <c r="C248" s="297" t="s">
        <v>2649</v>
      </c>
      <c r="D248" s="297" t="s">
        <v>4880</v>
      </c>
      <c r="E248" s="297" t="s">
        <v>2650</v>
      </c>
      <c r="F248" s="297" t="s">
        <v>3060</v>
      </c>
      <c r="G248" s="297"/>
      <c r="H248" s="297" t="s">
        <v>3339</v>
      </c>
      <c r="I248" s="297" t="s">
        <v>3340</v>
      </c>
      <c r="J248" s="45" t="str">
        <f t="shared" si="6"/>
        <v>TantalumD Block Metals, LLC</v>
      </c>
      <c r="K248" s="45" t="str">
        <f t="shared" si="7"/>
        <v>TantalumD Block Metals, LLC</v>
      </c>
      <c r="L248" s="243"/>
    </row>
    <row r="249" spans="1:12" ht="10.5" customHeight="1">
      <c r="A249" s="297" t="s">
        <v>2292</v>
      </c>
      <c r="B249" s="297" t="s">
        <v>51</v>
      </c>
      <c r="C249" s="297" t="s">
        <v>2337</v>
      </c>
      <c r="D249" s="297" t="s">
        <v>2150</v>
      </c>
      <c r="E249" s="297" t="s">
        <v>1317</v>
      </c>
      <c r="F249" s="297" t="s">
        <v>3060</v>
      </c>
      <c r="G249" s="297"/>
      <c r="H249" s="297" t="s">
        <v>3303</v>
      </c>
      <c r="I249" s="297" t="s">
        <v>3270</v>
      </c>
      <c r="J249" s="45" t="str">
        <f t="shared" si="6"/>
        <v>TantalumDouluoshan Sapphire Rare Metal Co Ltd</v>
      </c>
      <c r="K249" s="45" t="str">
        <f t="shared" si="7"/>
        <v>TantalumDouluoshan Sapphire Rare Metal Co Ltd</v>
      </c>
      <c r="L249" s="243"/>
    </row>
    <row r="250" spans="1:12" ht="10.5" customHeight="1">
      <c r="A250" s="297" t="s">
        <v>2292</v>
      </c>
      <c r="B250" s="297" t="s">
        <v>2337</v>
      </c>
      <c r="C250" s="297" t="s">
        <v>2337</v>
      </c>
      <c r="D250" s="297" t="s">
        <v>2150</v>
      </c>
      <c r="E250" s="297" t="s">
        <v>1317</v>
      </c>
      <c r="F250" s="297" t="s">
        <v>3060</v>
      </c>
      <c r="G250" s="297"/>
      <c r="H250" s="297" t="s">
        <v>3303</v>
      </c>
      <c r="I250" s="297" t="s">
        <v>3270</v>
      </c>
      <c r="J250" s="45" t="str">
        <f t="shared" si="6"/>
        <v>TantalumDuoluoshan</v>
      </c>
      <c r="K250" s="45" t="str">
        <f t="shared" si="7"/>
        <v>TantalumDuoluoshan</v>
      </c>
      <c r="L250" s="243"/>
    </row>
    <row r="251" spans="1:12" ht="10.5" customHeight="1">
      <c r="A251" s="297" t="s">
        <v>2292</v>
      </c>
      <c r="B251" s="297" t="s">
        <v>4234</v>
      </c>
      <c r="C251" s="297" t="s">
        <v>4234</v>
      </c>
      <c r="D251" s="297" t="s">
        <v>4880</v>
      </c>
      <c r="E251" s="297" t="s">
        <v>4235</v>
      </c>
      <c r="F251" s="297" t="s">
        <v>3060</v>
      </c>
      <c r="G251" s="297"/>
      <c r="H251" s="297" t="s">
        <v>4236</v>
      </c>
      <c r="I251" s="297" t="s">
        <v>4237</v>
      </c>
      <c r="J251" s="45" t="str">
        <f t="shared" si="6"/>
        <v>TantalumE.S.R. Electronics</v>
      </c>
      <c r="K251" s="45" t="str">
        <f t="shared" si="7"/>
        <v>TantalumE.S.R. Electronics</v>
      </c>
      <c r="L251" s="243"/>
    </row>
    <row r="252" spans="1:12" ht="10.5" customHeight="1">
      <c r="A252" s="297" t="s">
        <v>2292</v>
      </c>
      <c r="B252" s="297" t="s">
        <v>2274</v>
      </c>
      <c r="C252" s="297" t="s">
        <v>2274</v>
      </c>
      <c r="D252" s="297" t="s">
        <v>4880</v>
      </c>
      <c r="E252" s="297" t="s">
        <v>1318</v>
      </c>
      <c r="F252" s="297" t="s">
        <v>3060</v>
      </c>
      <c r="G252" s="297"/>
      <c r="H252" s="297" t="s">
        <v>3304</v>
      </c>
      <c r="I252" s="297" t="s">
        <v>3279</v>
      </c>
      <c r="J252" s="45" t="str">
        <f t="shared" si="6"/>
        <v>TantalumExotech Inc.</v>
      </c>
      <c r="K252" s="45" t="str">
        <f t="shared" si="7"/>
        <v>TantalumExotech Inc.</v>
      </c>
      <c r="L252" s="243"/>
    </row>
    <row r="253" spans="1:12" ht="10.5" customHeight="1">
      <c r="A253" s="297" t="s">
        <v>2292</v>
      </c>
      <c r="B253" s="297" t="s">
        <v>3306</v>
      </c>
      <c r="C253" s="297" t="s">
        <v>62</v>
      </c>
      <c r="D253" s="297" t="s">
        <v>2150</v>
      </c>
      <c r="E253" s="297" t="s">
        <v>1319</v>
      </c>
      <c r="F253" s="297" t="s">
        <v>3060</v>
      </c>
      <c r="G253" s="297"/>
      <c r="H253" s="297" t="s">
        <v>3305</v>
      </c>
      <c r="I253" s="297" t="s">
        <v>3270</v>
      </c>
      <c r="J253" s="45" t="str">
        <f t="shared" si="6"/>
        <v>TantalumF &amp; X</v>
      </c>
      <c r="K253" s="45" t="str">
        <f t="shared" si="7"/>
        <v>TantalumF &amp; X</v>
      </c>
      <c r="L253" s="243"/>
    </row>
    <row r="254" spans="1:12" ht="10.5" customHeight="1">
      <c r="A254" s="297" t="s">
        <v>2292</v>
      </c>
      <c r="B254" s="297" t="s">
        <v>62</v>
      </c>
      <c r="C254" s="297" t="s">
        <v>62</v>
      </c>
      <c r="D254" s="297" t="s">
        <v>2150</v>
      </c>
      <c r="E254" s="297" t="s">
        <v>1319</v>
      </c>
      <c r="F254" s="297" t="s">
        <v>3060</v>
      </c>
      <c r="G254" s="297"/>
      <c r="H254" s="297" t="s">
        <v>3305</v>
      </c>
      <c r="I254" s="297" t="s">
        <v>3270</v>
      </c>
      <c r="J254" s="45" t="str">
        <f t="shared" si="6"/>
        <v>TantalumF&amp;X Electro-Materials Ltd.</v>
      </c>
      <c r="K254" s="45" t="str">
        <f t="shared" si="7"/>
        <v>TantalumF&amp;X Electro-Materials Ltd.</v>
      </c>
      <c r="L254" s="243"/>
    </row>
    <row r="255" spans="1:12" ht="10.5" customHeight="1">
      <c r="A255" s="297" t="s">
        <v>2292</v>
      </c>
      <c r="B255" s="297" t="s">
        <v>4073</v>
      </c>
      <c r="C255" s="297" t="s">
        <v>4073</v>
      </c>
      <c r="D255" s="297" t="s">
        <v>2150</v>
      </c>
      <c r="E255" s="297" t="s">
        <v>2651</v>
      </c>
      <c r="F255" s="297" t="s">
        <v>3060</v>
      </c>
      <c r="G255" s="297"/>
      <c r="H255" s="297" t="s">
        <v>3326</v>
      </c>
      <c r="I255" s="297" t="s">
        <v>3121</v>
      </c>
      <c r="J255" s="45" t="str">
        <f t="shared" si="6"/>
        <v>TantalumFIR Metals &amp; Resource Ltd.</v>
      </c>
      <c r="K255" s="45" t="str">
        <f t="shared" si="7"/>
        <v>TantalumFIR Metals &amp; Resource Ltd.</v>
      </c>
      <c r="L255" s="243"/>
    </row>
    <row r="256" spans="1:12" ht="10.5" customHeight="1">
      <c r="A256" s="297" t="s">
        <v>2292</v>
      </c>
      <c r="B256" s="297" t="s">
        <v>2681</v>
      </c>
      <c r="C256" s="297" t="s">
        <v>2681</v>
      </c>
      <c r="D256" s="297" t="s">
        <v>2217</v>
      </c>
      <c r="E256" s="297" t="s">
        <v>2682</v>
      </c>
      <c r="F256" s="297" t="s">
        <v>3060</v>
      </c>
      <c r="G256" s="297"/>
      <c r="H256" s="297" t="s">
        <v>3360</v>
      </c>
      <c r="I256" s="297" t="s">
        <v>3078</v>
      </c>
      <c r="J256" s="45" t="str">
        <f t="shared" si="6"/>
        <v>TantalumGlobal Advanced Metals Aizu</v>
      </c>
      <c r="K256" s="45" t="str">
        <f t="shared" si="7"/>
        <v>TantalumGlobal Advanced Metals Aizu</v>
      </c>
      <c r="L256" s="243"/>
    </row>
    <row r="257" spans="1:12" ht="10.5" customHeight="1">
      <c r="A257" s="297" t="s">
        <v>2292</v>
      </c>
      <c r="B257" s="297" t="s">
        <v>2683</v>
      </c>
      <c r="C257" s="297" t="s">
        <v>2683</v>
      </c>
      <c r="D257" s="297" t="s">
        <v>4880</v>
      </c>
      <c r="E257" s="297" t="s">
        <v>2684</v>
      </c>
      <c r="F257" s="297" t="s">
        <v>3060</v>
      </c>
      <c r="G257" s="297"/>
      <c r="H257" s="297" t="s">
        <v>3359</v>
      </c>
      <c r="I257" s="297" t="s">
        <v>3332</v>
      </c>
      <c r="J257" s="45" t="str">
        <f t="shared" si="6"/>
        <v>TantalumGlobal Advanced Metals Boyertown</v>
      </c>
      <c r="K257" s="45" t="str">
        <f t="shared" si="7"/>
        <v>TantalumGlobal Advanced Metals Boyertown</v>
      </c>
      <c r="L257" s="243"/>
    </row>
    <row r="258" spans="1:12" ht="10.5" customHeight="1">
      <c r="A258" s="297" t="s">
        <v>2292</v>
      </c>
      <c r="B258" s="297" t="s">
        <v>1320</v>
      </c>
      <c r="C258" s="297" t="s">
        <v>1320</v>
      </c>
      <c r="D258" s="297" t="s">
        <v>2150</v>
      </c>
      <c r="E258" s="297" t="s">
        <v>1321</v>
      </c>
      <c r="F258" s="297" t="s">
        <v>3060</v>
      </c>
      <c r="G258" s="297"/>
      <c r="H258" s="297" t="s">
        <v>3307</v>
      </c>
      <c r="I258" s="297" t="s">
        <v>3270</v>
      </c>
      <c r="J258" s="45" t="str">
        <f t="shared" si="6"/>
        <v>TantalumGuangdong Zhiyuan New Material Co., Ltd.</v>
      </c>
      <c r="K258" s="45" t="str">
        <f t="shared" si="7"/>
        <v>TantalumGuangdong Zhiyuan New Material Co., Ltd.</v>
      </c>
      <c r="L258" s="243"/>
    </row>
    <row r="259" spans="1:12" ht="10.5" customHeight="1">
      <c r="A259" s="297" t="s">
        <v>2292</v>
      </c>
      <c r="B259" s="297" t="s">
        <v>2685</v>
      </c>
      <c r="C259" s="297" t="s">
        <v>2685</v>
      </c>
      <c r="D259" s="297" t="s">
        <v>1716</v>
      </c>
      <c r="E259" s="297" t="s">
        <v>2686</v>
      </c>
      <c r="F259" s="297" t="s">
        <v>3060</v>
      </c>
      <c r="G259" s="297"/>
      <c r="H259" s="297" t="s">
        <v>3347</v>
      </c>
      <c r="I259" s="297" t="s">
        <v>3348</v>
      </c>
      <c r="J259" s="45" t="str">
        <f t="shared" si="6"/>
        <v>TantalumH.C. Starck Co., Ltd.</v>
      </c>
      <c r="K259" s="45" t="str">
        <f t="shared" si="7"/>
        <v>TantalumH.C. Starck Co., Ltd.</v>
      </c>
      <c r="L259" s="243"/>
    </row>
    <row r="260" spans="1:12" ht="10.5" customHeight="1">
      <c r="A260" s="297" t="s">
        <v>2292</v>
      </c>
      <c r="B260" s="297" t="s">
        <v>2687</v>
      </c>
      <c r="C260" s="297" t="s">
        <v>2687</v>
      </c>
      <c r="D260" s="297" t="s">
        <v>2164</v>
      </c>
      <c r="E260" s="297" t="s">
        <v>2688</v>
      </c>
      <c r="F260" s="297" t="s">
        <v>3060</v>
      </c>
      <c r="G260" s="297"/>
      <c r="H260" s="297" t="s">
        <v>3349</v>
      </c>
      <c r="I260" s="297" t="s">
        <v>3350</v>
      </c>
      <c r="J260" s="45" t="str">
        <f t="shared" si="6"/>
        <v>TantalumH.C. Starck GmbH Goslar</v>
      </c>
      <c r="K260" s="45" t="str">
        <f t="shared" si="7"/>
        <v>TantalumH.C. Starck GmbH Goslar</v>
      </c>
      <c r="L260" s="243"/>
    </row>
    <row r="261" spans="1:12" ht="10.5" customHeight="1">
      <c r="A261" s="297" t="s">
        <v>2292</v>
      </c>
      <c r="B261" s="297" t="s">
        <v>2689</v>
      </c>
      <c r="C261" s="297" t="s">
        <v>2689</v>
      </c>
      <c r="D261" s="297" t="s">
        <v>2164</v>
      </c>
      <c r="E261" s="297" t="s">
        <v>2690</v>
      </c>
      <c r="F261" s="297" t="s">
        <v>3060</v>
      </c>
      <c r="G261" s="297"/>
      <c r="H261" s="297" t="s">
        <v>3351</v>
      </c>
      <c r="I261" s="297" t="s">
        <v>3066</v>
      </c>
      <c r="J261" s="45" t="str">
        <f t="shared" si="6"/>
        <v>TantalumH.C. Starck GmbH Laufenburg</v>
      </c>
      <c r="K261" s="45" t="str">
        <f t="shared" si="7"/>
        <v>TantalumH.C. Starck GmbH Laufenburg</v>
      </c>
      <c r="L261" s="243"/>
    </row>
    <row r="262" spans="1:12" ht="10.5" customHeight="1">
      <c r="A262" s="297" t="s">
        <v>2292</v>
      </c>
      <c r="B262" s="297" t="s">
        <v>2691</v>
      </c>
      <c r="C262" s="297" t="s">
        <v>2691</v>
      </c>
      <c r="D262" s="297" t="s">
        <v>2164</v>
      </c>
      <c r="E262" s="297" t="s">
        <v>2692</v>
      </c>
      <c r="F262" s="297" t="s">
        <v>3060</v>
      </c>
      <c r="G262" s="297"/>
      <c r="H262" s="297" t="s">
        <v>3352</v>
      </c>
      <c r="I262" s="297" t="s">
        <v>3353</v>
      </c>
      <c r="J262" s="45" t="str">
        <f t="shared" si="6"/>
        <v>TantalumH.C. Starck Hermsdorf GmbH</v>
      </c>
      <c r="K262" s="45" t="str">
        <f t="shared" si="7"/>
        <v>TantalumH.C. Starck Hermsdorf GmbH</v>
      </c>
      <c r="L262" s="243"/>
    </row>
    <row r="263" spans="1:12" ht="10.5" customHeight="1">
      <c r="A263" s="297" t="s">
        <v>2292</v>
      </c>
      <c r="B263" s="297" t="s">
        <v>2693</v>
      </c>
      <c r="C263" s="297" t="s">
        <v>2693</v>
      </c>
      <c r="D263" s="297" t="s">
        <v>4880</v>
      </c>
      <c r="E263" s="297" t="s">
        <v>2694</v>
      </c>
      <c r="F263" s="297" t="s">
        <v>3060</v>
      </c>
      <c r="G263" s="297"/>
      <c r="H263" s="297" t="s">
        <v>3354</v>
      </c>
      <c r="I263" s="297" t="s">
        <v>3177</v>
      </c>
      <c r="J263" s="45" t="str">
        <f t="shared" ref="J263:J329" si="8">A263&amp;B263</f>
        <v>TantalumH.C. Starck Inc.</v>
      </c>
      <c r="K263" s="45" t="str">
        <f t="shared" ref="K263:K329" si="9">A263&amp;B263</f>
        <v>TantalumH.C. Starck Inc.</v>
      </c>
      <c r="L263" s="243"/>
    </row>
    <row r="264" spans="1:12" ht="10.5" customHeight="1">
      <c r="A264" s="297" t="s">
        <v>2292</v>
      </c>
      <c r="B264" s="297" t="s">
        <v>2695</v>
      </c>
      <c r="C264" s="297" t="s">
        <v>2695</v>
      </c>
      <c r="D264" s="297" t="s">
        <v>2217</v>
      </c>
      <c r="E264" s="297" t="s">
        <v>2696</v>
      </c>
      <c r="F264" s="297" t="s">
        <v>3060</v>
      </c>
      <c r="G264" s="297"/>
      <c r="H264" s="297" t="s">
        <v>3355</v>
      </c>
      <c r="I264" s="297" t="s">
        <v>3356</v>
      </c>
      <c r="J264" s="45" t="str">
        <f t="shared" si="8"/>
        <v>TantalumH.C. Starck Ltd.</v>
      </c>
      <c r="K264" s="45" t="str">
        <f t="shared" si="9"/>
        <v>TantalumH.C. Starck Ltd.</v>
      </c>
      <c r="L264" s="243"/>
    </row>
    <row r="265" spans="1:12" ht="10.5" customHeight="1">
      <c r="A265" s="297" t="s">
        <v>2292</v>
      </c>
      <c r="B265" s="297" t="s">
        <v>4602</v>
      </c>
      <c r="C265" s="297" t="s">
        <v>4602</v>
      </c>
      <c r="D265" s="297" t="s">
        <v>2164</v>
      </c>
      <c r="E265" s="297" t="s">
        <v>2698</v>
      </c>
      <c r="F265" s="297" t="s">
        <v>3060</v>
      </c>
      <c r="G265" s="297"/>
      <c r="H265" s="297" t="s">
        <v>3351</v>
      </c>
      <c r="I265" s="297" t="s">
        <v>3066</v>
      </c>
      <c r="J265" s="45" t="str">
        <f t="shared" si="8"/>
        <v>TantalumH.C. Starck Smelting GmbH &amp; Co. KG</v>
      </c>
      <c r="K265" s="45" t="str">
        <f t="shared" si="9"/>
        <v>TantalumH.C. Starck Smelting GmbH &amp; Co. KG</v>
      </c>
      <c r="L265" s="243"/>
    </row>
    <row r="266" spans="1:12" ht="10.5" customHeight="1">
      <c r="A266" s="297" t="s">
        <v>2292</v>
      </c>
      <c r="B266" s="297" t="s">
        <v>4</v>
      </c>
      <c r="C266" s="297" t="s">
        <v>4</v>
      </c>
      <c r="D266" s="297" t="s">
        <v>2150</v>
      </c>
      <c r="E266" s="297" t="s">
        <v>713</v>
      </c>
      <c r="F266" s="297" t="s">
        <v>3060</v>
      </c>
      <c r="G266" s="297"/>
      <c r="H266" s="297" t="s">
        <v>3338</v>
      </c>
      <c r="I266" s="297" t="s">
        <v>3121</v>
      </c>
      <c r="J266" s="45" t="str">
        <f t="shared" si="8"/>
        <v>TantalumHengyang King Xing Lifeng New Materials Co., Ltd.</v>
      </c>
      <c r="K266" s="45" t="str">
        <f t="shared" si="9"/>
        <v>TantalumHengyang King Xing Lifeng New Materials Co., Ltd.</v>
      </c>
      <c r="L266" s="243"/>
    </row>
    <row r="267" spans="1:12" ht="10.5" customHeight="1">
      <c r="A267" s="297" t="s">
        <v>2292</v>
      </c>
      <c r="B267" s="297" t="s">
        <v>2277</v>
      </c>
      <c r="C267" s="297" t="s">
        <v>3308</v>
      </c>
      <c r="D267" s="297" t="s">
        <v>4880</v>
      </c>
      <c r="E267" s="297" t="s">
        <v>1322</v>
      </c>
      <c r="F267" s="297" t="s">
        <v>3060</v>
      </c>
      <c r="G267" s="297"/>
      <c r="H267" s="297" t="s">
        <v>3309</v>
      </c>
      <c r="I267" s="297" t="s">
        <v>3165</v>
      </c>
      <c r="J267" s="45" t="str">
        <f t="shared" si="8"/>
        <v>TantalumHi-Temp</v>
      </c>
      <c r="K267" s="45" t="str">
        <f t="shared" si="9"/>
        <v>TantalumHi-Temp</v>
      </c>
      <c r="L267" s="243"/>
    </row>
    <row r="268" spans="1:12" ht="10.5" customHeight="1">
      <c r="A268" s="297" t="s">
        <v>2292</v>
      </c>
      <c r="B268" s="297" t="s">
        <v>3308</v>
      </c>
      <c r="C268" s="297" t="s">
        <v>3308</v>
      </c>
      <c r="D268" s="297" t="s">
        <v>4880</v>
      </c>
      <c r="E268" s="297" t="s">
        <v>1322</v>
      </c>
      <c r="F268" s="297" t="s">
        <v>3060</v>
      </c>
      <c r="G268" s="297"/>
      <c r="H268" s="297" t="s">
        <v>3309</v>
      </c>
      <c r="I268" s="297" t="s">
        <v>3165</v>
      </c>
      <c r="J268" s="45" t="str">
        <f t="shared" si="8"/>
        <v>TantalumHi-Temp Specialty Metals, Inc.</v>
      </c>
      <c r="K268" s="45" t="str">
        <f t="shared" si="9"/>
        <v>TantalumHi-Temp Specialty Metals, Inc.</v>
      </c>
      <c r="L268" s="243"/>
    </row>
    <row r="269" spans="1:12" ht="10.5" customHeight="1">
      <c r="A269" s="297" t="s">
        <v>2292</v>
      </c>
      <c r="B269" s="297" t="s">
        <v>4077</v>
      </c>
      <c r="C269" s="297" t="s">
        <v>4077</v>
      </c>
      <c r="D269" s="297" t="s">
        <v>2150</v>
      </c>
      <c r="E269" s="297" t="s">
        <v>2652</v>
      </c>
      <c r="F269" s="297" t="s">
        <v>3060</v>
      </c>
      <c r="G269" s="297"/>
      <c r="H269" s="297" t="s">
        <v>3342</v>
      </c>
      <c r="I269" s="297" t="s">
        <v>3139</v>
      </c>
      <c r="J269" s="45" t="str">
        <f t="shared" si="8"/>
        <v>TantalumJiangxi Dinghai Tantalum &amp; Niobium Co., Ltd.</v>
      </c>
      <c r="K269" s="45" t="str">
        <f t="shared" si="9"/>
        <v>TantalumJiangxi Dinghai Tantalum &amp; Niobium Co., Ltd.</v>
      </c>
      <c r="L269" s="243"/>
    </row>
    <row r="270" spans="1:12" ht="10.5" customHeight="1">
      <c r="A270" s="297" t="s">
        <v>2292</v>
      </c>
      <c r="B270" s="297" t="s">
        <v>4253</v>
      </c>
      <c r="C270" s="297" t="s">
        <v>4253</v>
      </c>
      <c r="D270" s="297" t="s">
        <v>2150</v>
      </c>
      <c r="E270" s="297" t="s">
        <v>4254</v>
      </c>
      <c r="F270" s="297" t="s">
        <v>3060</v>
      </c>
      <c r="G270" s="297"/>
      <c r="H270" s="297" t="s">
        <v>3337</v>
      </c>
      <c r="I270" s="297" t="s">
        <v>3139</v>
      </c>
      <c r="J270" s="45" t="str">
        <f t="shared" si="8"/>
        <v>TantalumJiangxi Tuohong New Raw Material</v>
      </c>
      <c r="K270" s="45" t="str">
        <f t="shared" si="9"/>
        <v>TantalumJiangxi Tuohong New Raw Material</v>
      </c>
      <c r="L270" s="243"/>
    </row>
    <row r="271" spans="1:12" ht="10.5" customHeight="1">
      <c r="A271" s="297" t="s">
        <v>2292</v>
      </c>
      <c r="B271" s="297" t="s">
        <v>5</v>
      </c>
      <c r="C271" s="297" t="s">
        <v>5</v>
      </c>
      <c r="D271" s="297" t="s">
        <v>2150</v>
      </c>
      <c r="E271" s="297" t="s">
        <v>1323</v>
      </c>
      <c r="F271" s="297" t="s">
        <v>3060</v>
      </c>
      <c r="G271" s="297"/>
      <c r="H271" s="297" t="s">
        <v>3310</v>
      </c>
      <c r="I271" s="297" t="s">
        <v>3139</v>
      </c>
      <c r="J271" s="45" t="str">
        <f t="shared" si="8"/>
        <v>TantalumJiuJiang JinXin Nonferrous Metals Co., Ltd.</v>
      </c>
      <c r="K271" s="45" t="str">
        <f t="shared" si="9"/>
        <v>TantalumJiuJiang JinXin Nonferrous Metals Co., Ltd.</v>
      </c>
      <c r="L271" s="243"/>
    </row>
    <row r="272" spans="1:12" ht="10.5" customHeight="1">
      <c r="A272" s="297" t="s">
        <v>2292</v>
      </c>
      <c r="B272" s="297" t="s">
        <v>63</v>
      </c>
      <c r="C272" s="297" t="s">
        <v>63</v>
      </c>
      <c r="D272" s="297" t="s">
        <v>2150</v>
      </c>
      <c r="E272" s="297" t="s">
        <v>1324</v>
      </c>
      <c r="F272" s="297" t="s">
        <v>3060</v>
      </c>
      <c r="G272" s="297"/>
      <c r="H272" s="297" t="s">
        <v>3310</v>
      </c>
      <c r="I272" s="297" t="s">
        <v>3139</v>
      </c>
      <c r="J272" s="45" t="str">
        <f t="shared" si="8"/>
        <v>TantalumJiujiang Tanbre Co., Ltd.</v>
      </c>
      <c r="K272" s="45" t="str">
        <f t="shared" si="9"/>
        <v>TantalumJiujiang Tanbre Co., Ltd.</v>
      </c>
      <c r="L272" s="243"/>
    </row>
    <row r="273" spans="1:12" ht="10.5" customHeight="1">
      <c r="A273" s="297" t="s">
        <v>2292</v>
      </c>
      <c r="B273" s="297" t="s">
        <v>4074</v>
      </c>
      <c r="C273" s="297" t="s">
        <v>4074</v>
      </c>
      <c r="D273" s="297" t="s">
        <v>2150</v>
      </c>
      <c r="E273" s="297" t="s">
        <v>2653</v>
      </c>
      <c r="F273" s="297" t="s">
        <v>3060</v>
      </c>
      <c r="G273" s="297"/>
      <c r="H273" s="297" t="s">
        <v>3310</v>
      </c>
      <c r="I273" s="297" t="s">
        <v>3139</v>
      </c>
      <c r="J273" s="45" t="str">
        <f t="shared" si="8"/>
        <v>TantalumJiujiang Zhongao Tantalum &amp; Niobium Co., Ltd.</v>
      </c>
      <c r="K273" s="45" t="str">
        <f t="shared" si="9"/>
        <v>TantalumJiujiang Zhongao Tantalum &amp; Niobium Co., Ltd.</v>
      </c>
      <c r="L273" s="243"/>
    </row>
    <row r="274" spans="1:12" ht="10.5" customHeight="1">
      <c r="A274" s="297" t="s">
        <v>2292</v>
      </c>
      <c r="B274" s="297" t="s">
        <v>2699</v>
      </c>
      <c r="C274" s="297" t="s">
        <v>2699</v>
      </c>
      <c r="D274" s="297" t="s">
        <v>2243</v>
      </c>
      <c r="E274" s="297" t="s">
        <v>2700</v>
      </c>
      <c r="F274" s="297" t="s">
        <v>3060</v>
      </c>
      <c r="G274" s="297"/>
      <c r="H274" s="297" t="s">
        <v>3343</v>
      </c>
      <c r="I274" s="297" t="s">
        <v>3344</v>
      </c>
      <c r="J274" s="45" t="str">
        <f t="shared" si="8"/>
        <v>TantalumKEMET Blue Metals</v>
      </c>
      <c r="K274" s="45" t="str">
        <f t="shared" si="9"/>
        <v>TantalumKEMET Blue Metals</v>
      </c>
      <c r="L274" s="243"/>
    </row>
    <row r="275" spans="1:12" ht="10.5" customHeight="1">
      <c r="A275" s="297" t="s">
        <v>2292</v>
      </c>
      <c r="B275" s="297" t="s">
        <v>2715</v>
      </c>
      <c r="C275" s="297" t="s">
        <v>2715</v>
      </c>
      <c r="D275" s="297" t="s">
        <v>4880</v>
      </c>
      <c r="E275" s="297" t="s">
        <v>2716</v>
      </c>
      <c r="F275" s="297" t="s">
        <v>3060</v>
      </c>
      <c r="G275" s="297"/>
      <c r="H275" s="297" t="s">
        <v>3361</v>
      </c>
      <c r="I275" s="297" t="s">
        <v>3362</v>
      </c>
      <c r="J275" s="45" t="str">
        <f t="shared" si="8"/>
        <v>TantalumKEMET Blue Powder</v>
      </c>
      <c r="K275" s="45" t="str">
        <f t="shared" si="9"/>
        <v>TantalumKEMET Blue Powder</v>
      </c>
      <c r="L275" s="243"/>
    </row>
    <row r="276" spans="1:12" ht="10.5" customHeight="1">
      <c r="A276" s="297" t="s">
        <v>2292</v>
      </c>
      <c r="B276" s="297" t="s">
        <v>4046</v>
      </c>
      <c r="C276" s="297" t="s">
        <v>4046</v>
      </c>
      <c r="D276" s="297" t="s">
        <v>2150</v>
      </c>
      <c r="E276" s="297" t="s">
        <v>1325</v>
      </c>
      <c r="F276" s="297" t="s">
        <v>3060</v>
      </c>
      <c r="G276" s="297"/>
      <c r="H276" s="297" t="s">
        <v>3311</v>
      </c>
      <c r="I276" s="297" t="s">
        <v>3139</v>
      </c>
      <c r="J276" s="45" t="str">
        <f t="shared" si="8"/>
        <v>TantalumKing-Tan Tantalum Industry Ltd.</v>
      </c>
      <c r="K276" s="45" t="str">
        <f t="shared" si="9"/>
        <v>TantalumKing-Tan Tantalum Industry Ltd.</v>
      </c>
      <c r="L276" s="243"/>
    </row>
    <row r="277" spans="1:12" ht="10.5" customHeight="1">
      <c r="A277" s="297" t="s">
        <v>2292</v>
      </c>
      <c r="B277" s="297" t="s">
        <v>64</v>
      </c>
      <c r="C277" s="297" t="s">
        <v>64</v>
      </c>
      <c r="D277" s="297" t="s">
        <v>2139</v>
      </c>
      <c r="E277" s="297" t="s">
        <v>1326</v>
      </c>
      <c r="F277" s="297" t="s">
        <v>3060</v>
      </c>
      <c r="G277" s="297"/>
      <c r="H277" s="297" t="s">
        <v>3312</v>
      </c>
      <c r="I277" s="297" t="s">
        <v>3071</v>
      </c>
      <c r="J277" s="45" t="str">
        <f t="shared" si="8"/>
        <v>TantalumLSM Brasil S.A.</v>
      </c>
      <c r="K277" s="45" t="str">
        <f t="shared" si="9"/>
        <v>TantalumLSM Brasil S.A.</v>
      </c>
      <c r="L277" s="243"/>
    </row>
    <row r="278" spans="1:12" ht="10.5" customHeight="1">
      <c r="A278" s="297" t="s">
        <v>2292</v>
      </c>
      <c r="B278" s="297" t="s">
        <v>3315</v>
      </c>
      <c r="C278" s="297" t="s">
        <v>4052</v>
      </c>
      <c r="D278" s="297" t="s">
        <v>2207</v>
      </c>
      <c r="E278" s="297" t="s">
        <v>1327</v>
      </c>
      <c r="F278" s="297" t="s">
        <v>3060</v>
      </c>
      <c r="G278" s="297"/>
      <c r="H278" s="297" t="s">
        <v>3313</v>
      </c>
      <c r="I278" s="297" t="s">
        <v>3314</v>
      </c>
      <c r="J278" s="45" t="str">
        <f t="shared" si="8"/>
        <v>TantalumMetallurgical Products India Pvt. Ltd. (MPIL)</v>
      </c>
      <c r="K278" s="45" t="str">
        <f t="shared" si="9"/>
        <v>TantalumMetallurgical Products India Pvt. Ltd. (MPIL)</v>
      </c>
      <c r="L278" s="243"/>
    </row>
    <row r="279" spans="1:12" ht="10.5" customHeight="1">
      <c r="A279" s="297" t="s">
        <v>2292</v>
      </c>
      <c r="B279" s="297" t="s">
        <v>4052</v>
      </c>
      <c r="C279" s="297" t="s">
        <v>4052</v>
      </c>
      <c r="D279" s="297" t="s">
        <v>2207</v>
      </c>
      <c r="E279" s="297" t="s">
        <v>1327</v>
      </c>
      <c r="F279" s="297" t="s">
        <v>3060</v>
      </c>
      <c r="G279" s="297"/>
      <c r="H279" s="297" t="s">
        <v>3313</v>
      </c>
      <c r="I279" s="297" t="s">
        <v>3314</v>
      </c>
      <c r="J279" s="45" t="str">
        <f t="shared" si="8"/>
        <v>TantalumMetallurgical Products India Pvt., Ltd.</v>
      </c>
      <c r="K279" s="45" t="str">
        <f t="shared" si="9"/>
        <v>TantalumMetallurgical Products India Pvt., Ltd.</v>
      </c>
      <c r="L279" s="243"/>
    </row>
    <row r="280" spans="1:12" ht="10.5" customHeight="1">
      <c r="A280" s="297" t="s">
        <v>2292</v>
      </c>
      <c r="B280" s="297" t="s">
        <v>1924</v>
      </c>
      <c r="C280" s="297" t="s">
        <v>1924</v>
      </c>
      <c r="D280" s="297" t="s">
        <v>2139</v>
      </c>
      <c r="E280" s="297" t="s">
        <v>1328</v>
      </c>
      <c r="F280" s="297" t="s">
        <v>3060</v>
      </c>
      <c r="G280" s="297"/>
      <c r="H280" s="297" t="s">
        <v>3316</v>
      </c>
      <c r="I280" s="297" t="s">
        <v>3317</v>
      </c>
      <c r="J280" s="45" t="str">
        <f t="shared" si="8"/>
        <v>TantalumMineração Taboca S.A.</v>
      </c>
      <c r="K280" s="45" t="str">
        <f t="shared" si="9"/>
        <v>TantalumMineração Taboca S.A.</v>
      </c>
      <c r="L280" s="243"/>
    </row>
    <row r="281" spans="1:12" ht="10.5" customHeight="1">
      <c r="A281" s="297" t="s">
        <v>2292</v>
      </c>
      <c r="B281" s="297" t="s">
        <v>2421</v>
      </c>
      <c r="C281" s="297" t="s">
        <v>2421</v>
      </c>
      <c r="D281" s="297" t="s">
        <v>2217</v>
      </c>
      <c r="E281" s="297" t="s">
        <v>1329</v>
      </c>
      <c r="F281" s="297" t="s">
        <v>3060</v>
      </c>
      <c r="G281" s="297"/>
      <c r="H281" s="297" t="s">
        <v>3318</v>
      </c>
      <c r="I281" s="297" t="s">
        <v>3319</v>
      </c>
      <c r="J281" s="45" t="str">
        <f t="shared" si="8"/>
        <v>TantalumMitsui Mining and Smelting Co., Ltd.</v>
      </c>
      <c r="K281" s="45" t="str">
        <f t="shared" si="9"/>
        <v>TantalumMitsui Mining and Smelting Co., Ltd.</v>
      </c>
      <c r="L281" s="243"/>
    </row>
    <row r="282" spans="1:12" ht="10.5" customHeight="1">
      <c r="A282" s="297" t="s">
        <v>2292</v>
      </c>
      <c r="B282" s="297" t="s">
        <v>2275</v>
      </c>
      <c r="C282" s="297" t="s">
        <v>2275</v>
      </c>
      <c r="D282" s="297" t="s">
        <v>2217</v>
      </c>
      <c r="E282" s="297" t="s">
        <v>1329</v>
      </c>
      <c r="F282" s="297" t="s">
        <v>3060</v>
      </c>
      <c r="G282" s="297"/>
      <c r="H282" s="297" t="s">
        <v>3318</v>
      </c>
      <c r="I282" s="297" t="s">
        <v>3319</v>
      </c>
      <c r="J282" s="45" t="str">
        <f t="shared" si="8"/>
        <v>TantalumMitsui Mining &amp; Smelting</v>
      </c>
      <c r="K282" s="45" t="str">
        <f t="shared" si="9"/>
        <v>TantalumMitsui Mining &amp; Smelting</v>
      </c>
      <c r="L282" s="243"/>
    </row>
    <row r="283" spans="1:12" ht="10.5" customHeight="1">
      <c r="A283" s="297" t="s">
        <v>2292</v>
      </c>
      <c r="B283" s="297" t="s">
        <v>65</v>
      </c>
      <c r="C283" s="297" t="s">
        <v>65</v>
      </c>
      <c r="D283" s="297" t="s">
        <v>2175</v>
      </c>
      <c r="E283" s="297" t="s">
        <v>1330</v>
      </c>
      <c r="F283" s="297" t="s">
        <v>3060</v>
      </c>
      <c r="G283" s="297"/>
      <c r="H283" s="297" t="s">
        <v>3320</v>
      </c>
      <c r="I283" s="297" t="s">
        <v>3321</v>
      </c>
      <c r="J283" s="45" t="str">
        <f t="shared" si="8"/>
        <v>TantalumMolycorp Silmet A.S.</v>
      </c>
      <c r="K283" s="45" t="str">
        <f t="shared" si="9"/>
        <v>TantalumMolycorp Silmet A.S.</v>
      </c>
      <c r="L283" s="243"/>
    </row>
    <row r="284" spans="1:12" ht="10.5" customHeight="1">
      <c r="A284" s="297" t="s">
        <v>2292</v>
      </c>
      <c r="B284" s="297" t="s">
        <v>1921</v>
      </c>
      <c r="C284" s="297" t="s">
        <v>1921</v>
      </c>
      <c r="D284" s="297" t="s">
        <v>2150</v>
      </c>
      <c r="E284" s="297" t="s">
        <v>1331</v>
      </c>
      <c r="F284" s="297" t="s">
        <v>3060</v>
      </c>
      <c r="G284" s="297"/>
      <c r="H284" s="297" t="s">
        <v>3322</v>
      </c>
      <c r="I284" s="297" t="s">
        <v>3323</v>
      </c>
      <c r="J284" s="45" t="str">
        <f t="shared" si="8"/>
        <v>TantalumNingxia Orient Tantalum Industry Co., Ltd.</v>
      </c>
      <c r="K284" s="45" t="str">
        <f t="shared" si="9"/>
        <v>TantalumNingxia Orient Tantalum Industry Co., Ltd.</v>
      </c>
      <c r="L284" s="243"/>
    </row>
    <row r="285" spans="1:12" ht="10.5" customHeight="1">
      <c r="A285" s="297" t="s">
        <v>2292</v>
      </c>
      <c r="B285" s="297" t="s">
        <v>2701</v>
      </c>
      <c r="C285" s="297" t="s">
        <v>2701</v>
      </c>
      <c r="D285" s="297" t="s">
        <v>2125</v>
      </c>
      <c r="E285" s="297" t="s">
        <v>2702</v>
      </c>
      <c r="F285" s="297" t="s">
        <v>3060</v>
      </c>
      <c r="G285" s="297"/>
      <c r="H285" s="297" t="s">
        <v>3345</v>
      </c>
      <c r="I285" s="297" t="s">
        <v>3346</v>
      </c>
      <c r="J285" s="45" t="str">
        <f t="shared" si="8"/>
        <v>TantalumPlansee SE Liezen</v>
      </c>
      <c r="K285" s="45" t="str">
        <f t="shared" si="9"/>
        <v>TantalumPlansee SE Liezen</v>
      </c>
      <c r="L285" s="243"/>
    </row>
    <row r="286" spans="1:12" ht="10.5" customHeight="1">
      <c r="A286" s="297" t="s">
        <v>2292</v>
      </c>
      <c r="B286" s="297" t="s">
        <v>2703</v>
      </c>
      <c r="C286" s="297" t="s">
        <v>2703</v>
      </c>
      <c r="D286" s="297" t="s">
        <v>2125</v>
      </c>
      <c r="E286" s="297" t="s">
        <v>2704</v>
      </c>
      <c r="F286" s="297" t="s">
        <v>3060</v>
      </c>
      <c r="G286" s="297"/>
      <c r="H286" s="297" t="s">
        <v>3357</v>
      </c>
      <c r="I286" s="297" t="s">
        <v>3358</v>
      </c>
      <c r="J286" s="45" t="str">
        <f t="shared" si="8"/>
        <v>TantalumPlansee SE Reutte</v>
      </c>
      <c r="K286" s="45" t="str">
        <f t="shared" si="9"/>
        <v>TantalumPlansee SE Reutte</v>
      </c>
      <c r="L286" s="243"/>
    </row>
    <row r="287" spans="1:12" ht="10.5" customHeight="1">
      <c r="A287" s="297" t="s">
        <v>2292</v>
      </c>
      <c r="B287" s="297" t="s">
        <v>4702</v>
      </c>
      <c r="C287" s="297" t="s">
        <v>4702</v>
      </c>
      <c r="D287" s="297" t="s">
        <v>4877</v>
      </c>
      <c r="E287" s="297" t="s">
        <v>4603</v>
      </c>
      <c r="F287" s="297" t="s">
        <v>3060</v>
      </c>
      <c r="G287" s="297"/>
      <c r="H287" s="297" t="s">
        <v>4634</v>
      </c>
      <c r="I287" s="297" t="s">
        <v>4635</v>
      </c>
      <c r="J287" s="45" t="str">
        <f t="shared" si="8"/>
        <v>TantalumPower Resources Ltd.</v>
      </c>
      <c r="K287" s="45" t="str">
        <f t="shared" si="9"/>
        <v>TantalumPower Resources Ltd.</v>
      </c>
      <c r="L287" s="243"/>
    </row>
    <row r="288" spans="1:12" ht="10.5" customHeight="1">
      <c r="A288" s="297" t="s">
        <v>2292</v>
      </c>
      <c r="B288" s="297" t="s">
        <v>1441</v>
      </c>
      <c r="C288" s="297" t="s">
        <v>1441</v>
      </c>
      <c r="D288" s="297" t="s">
        <v>4880</v>
      </c>
      <c r="E288" s="297" t="s">
        <v>1332</v>
      </c>
      <c r="F288" s="297" t="s">
        <v>3060</v>
      </c>
      <c r="G288" s="297"/>
      <c r="H288" s="297" t="s">
        <v>3324</v>
      </c>
      <c r="I288" s="297" t="s">
        <v>3325</v>
      </c>
      <c r="J288" s="45" t="str">
        <f t="shared" si="8"/>
        <v>TantalumQuantumClean</v>
      </c>
      <c r="K288" s="45" t="str">
        <f t="shared" si="9"/>
        <v>TantalumQuantumClean</v>
      </c>
      <c r="L288" s="243"/>
    </row>
    <row r="289" spans="1:12" ht="10.5" customHeight="1">
      <c r="A289" s="297" t="s">
        <v>2292</v>
      </c>
      <c r="B289" s="297" t="s">
        <v>4179</v>
      </c>
      <c r="C289" s="297" t="s">
        <v>4179</v>
      </c>
      <c r="D289" s="297" t="s">
        <v>2139</v>
      </c>
      <c r="E289" s="297" t="s">
        <v>3366</v>
      </c>
      <c r="F289" s="297" t="s">
        <v>3060</v>
      </c>
      <c r="G289" s="297"/>
      <c r="H289" s="297" t="s">
        <v>3312</v>
      </c>
      <c r="I289" s="297" t="s">
        <v>3367</v>
      </c>
      <c r="J289" s="45" t="str">
        <f t="shared" si="8"/>
        <v>TantalumResind Indústria e Comércio Ltda.</v>
      </c>
      <c r="K289" s="45" t="str">
        <f t="shared" si="9"/>
        <v>TantalumResind Indústria e Comércio Ltda.</v>
      </c>
      <c r="L289" s="243"/>
    </row>
    <row r="290" spans="1:12" ht="10.5" customHeight="1">
      <c r="A290" s="297" t="s">
        <v>2292</v>
      </c>
      <c r="B290" s="297" t="s">
        <v>2278</v>
      </c>
      <c r="C290" s="297" t="s">
        <v>4059</v>
      </c>
      <c r="D290" s="297" t="s">
        <v>2150</v>
      </c>
      <c r="E290" s="297" t="s">
        <v>1333</v>
      </c>
      <c r="F290" s="297" t="s">
        <v>3060</v>
      </c>
      <c r="G290" s="297"/>
      <c r="H290" s="297" t="s">
        <v>3326</v>
      </c>
      <c r="I290" s="297" t="s">
        <v>3121</v>
      </c>
      <c r="J290" s="45" t="str">
        <f t="shared" si="8"/>
        <v>TantalumRFH</v>
      </c>
      <c r="K290" s="45" t="str">
        <f t="shared" si="9"/>
        <v>TantalumRFH</v>
      </c>
      <c r="L290" s="243"/>
    </row>
    <row r="291" spans="1:12" ht="10.5" customHeight="1">
      <c r="A291" s="297" t="s">
        <v>2292</v>
      </c>
      <c r="B291" s="297" t="s">
        <v>52</v>
      </c>
      <c r="C291" s="297" t="s">
        <v>4059</v>
      </c>
      <c r="D291" s="297" t="s">
        <v>2150</v>
      </c>
      <c r="E291" s="297" t="s">
        <v>1333</v>
      </c>
      <c r="F291" s="297" t="s">
        <v>3060</v>
      </c>
      <c r="G291" s="297"/>
      <c r="H291" s="297" t="s">
        <v>3326</v>
      </c>
      <c r="I291" s="297" t="s">
        <v>3121</v>
      </c>
      <c r="J291" s="45" t="str">
        <f t="shared" si="8"/>
        <v>TantalumRFH (Yanling Jincheng Tantalum &amp; Niobium Co., Ltd)</v>
      </c>
      <c r="K291" s="45" t="str">
        <f t="shared" si="9"/>
        <v>TantalumRFH (Yanling Jincheng Tantalum &amp; Niobium Co., Ltd)</v>
      </c>
      <c r="L291" s="243"/>
    </row>
    <row r="292" spans="1:12" ht="10.5" customHeight="1">
      <c r="A292" s="297" t="s">
        <v>2292</v>
      </c>
      <c r="B292" s="297" t="s">
        <v>4059</v>
      </c>
      <c r="C292" s="297" t="s">
        <v>4059</v>
      </c>
      <c r="D292" s="297" t="s">
        <v>2150</v>
      </c>
      <c r="E292" s="297" t="s">
        <v>1333</v>
      </c>
      <c r="F292" s="297" t="s">
        <v>3060</v>
      </c>
      <c r="G292" s="297"/>
      <c r="H292" s="297" t="s">
        <v>3326</v>
      </c>
      <c r="I292" s="297" t="s">
        <v>3121</v>
      </c>
      <c r="J292" s="45" t="str">
        <f t="shared" si="8"/>
        <v>TantalumRFH Tantalum Smeltry Co., Ltd.</v>
      </c>
      <c r="K292" s="45" t="str">
        <f t="shared" si="9"/>
        <v>TantalumRFH Tantalum Smeltry Co., Ltd.</v>
      </c>
      <c r="L292" s="243"/>
    </row>
    <row r="293" spans="1:12" ht="10.5" customHeight="1">
      <c r="A293" s="297" t="s">
        <v>2292</v>
      </c>
      <c r="B293" s="297" t="s">
        <v>3327</v>
      </c>
      <c r="C293" s="297" t="s">
        <v>2622</v>
      </c>
      <c r="D293" s="297" t="s">
        <v>1690</v>
      </c>
      <c r="E293" s="297" t="s">
        <v>1334</v>
      </c>
      <c r="F293" s="297" t="s">
        <v>3060</v>
      </c>
      <c r="G293" s="297"/>
      <c r="H293" s="297" t="s">
        <v>3327</v>
      </c>
      <c r="I293" s="297" t="s">
        <v>3328</v>
      </c>
      <c r="J293" s="45" t="str">
        <f t="shared" si="8"/>
        <v>TantalumSolikamsk</v>
      </c>
      <c r="K293" s="45" t="str">
        <f t="shared" si="9"/>
        <v>TantalumSolikamsk</v>
      </c>
      <c r="L293" s="243"/>
    </row>
    <row r="294" spans="1:12" ht="10.5" customHeight="1">
      <c r="A294" s="297" t="s">
        <v>2292</v>
      </c>
      <c r="B294" s="297" t="s">
        <v>2622</v>
      </c>
      <c r="C294" s="297" t="s">
        <v>2622</v>
      </c>
      <c r="D294" s="297" t="s">
        <v>1690</v>
      </c>
      <c r="E294" s="297" t="s">
        <v>1334</v>
      </c>
      <c r="F294" s="297" t="s">
        <v>3060</v>
      </c>
      <c r="G294" s="297"/>
      <c r="H294" s="297" t="s">
        <v>3327</v>
      </c>
      <c r="I294" s="297" t="s">
        <v>3328</v>
      </c>
      <c r="J294" s="45" t="str">
        <f t="shared" si="8"/>
        <v>TantalumSolikamsk Magnesium Works OAO</v>
      </c>
      <c r="K294" s="45" t="str">
        <f t="shared" si="9"/>
        <v>TantalumSolikamsk Magnesium Works OAO</v>
      </c>
      <c r="L294" s="243"/>
    </row>
    <row r="295" spans="1:12" ht="10.5" customHeight="1">
      <c r="A295" s="297" t="s">
        <v>2292</v>
      </c>
      <c r="B295" s="297" t="s">
        <v>2276</v>
      </c>
      <c r="C295" s="297" t="s">
        <v>2622</v>
      </c>
      <c r="D295" s="297" t="s">
        <v>1690</v>
      </c>
      <c r="E295" s="297" t="s">
        <v>1334</v>
      </c>
      <c r="F295" s="297" t="s">
        <v>3060</v>
      </c>
      <c r="G295" s="297"/>
      <c r="H295" s="297" t="s">
        <v>3327</v>
      </c>
      <c r="I295" s="297" t="s">
        <v>3328</v>
      </c>
      <c r="J295" s="45" t="str">
        <f t="shared" si="8"/>
        <v>TantalumSolikamsk Metal Works</v>
      </c>
      <c r="K295" s="45" t="str">
        <f t="shared" si="9"/>
        <v>TantalumSolikamsk Metal Works</v>
      </c>
      <c r="L295" s="243"/>
    </row>
    <row r="296" spans="1:12" ht="10.5" customHeight="1">
      <c r="A296" s="297" t="s">
        <v>2292</v>
      </c>
      <c r="B296" s="297" t="s">
        <v>4907</v>
      </c>
      <c r="C296" s="297" t="s">
        <v>4907</v>
      </c>
      <c r="D296" s="297" t="s">
        <v>2217</v>
      </c>
      <c r="E296" s="297" t="s">
        <v>1335</v>
      </c>
      <c r="F296" s="297" t="s">
        <v>3060</v>
      </c>
      <c r="G296" s="297"/>
      <c r="H296" s="297" t="s">
        <v>3329</v>
      </c>
      <c r="I296" s="297" t="s">
        <v>3075</v>
      </c>
      <c r="J296" s="45" t="str">
        <f t="shared" si="8"/>
        <v>TantalumTaki Chemical Co., Ltd.</v>
      </c>
      <c r="K296" s="45" t="str">
        <f t="shared" si="9"/>
        <v>TantalumTaki Chemical Co., Ltd.</v>
      </c>
      <c r="L296" s="243"/>
    </row>
    <row r="297" spans="1:12" ht="10.5" customHeight="1">
      <c r="A297" s="297" t="s">
        <v>2292</v>
      </c>
      <c r="B297" s="297" t="s">
        <v>1442</v>
      </c>
      <c r="C297" s="297" t="s">
        <v>4907</v>
      </c>
      <c r="D297" s="297" t="s">
        <v>2217</v>
      </c>
      <c r="E297" s="297" t="s">
        <v>1335</v>
      </c>
      <c r="F297" s="297" t="s">
        <v>3060</v>
      </c>
      <c r="G297" s="297"/>
      <c r="H297" s="297" t="s">
        <v>3329</v>
      </c>
      <c r="I297" s="297" t="s">
        <v>3075</v>
      </c>
      <c r="J297" s="45" t="str">
        <f t="shared" si="8"/>
        <v>TantalumTaki Chemicals</v>
      </c>
      <c r="K297" s="45" t="str">
        <f t="shared" si="9"/>
        <v>TantalumTaki Chemicals</v>
      </c>
      <c r="L297" s="243"/>
    </row>
    <row r="298" spans="1:12" ht="10.5" customHeight="1">
      <c r="A298" s="297" t="s">
        <v>2292</v>
      </c>
      <c r="B298" s="297" t="s">
        <v>3330</v>
      </c>
      <c r="C298" s="297" t="s">
        <v>3330</v>
      </c>
      <c r="D298" s="297" t="s">
        <v>4880</v>
      </c>
      <c r="E298" s="297" t="s">
        <v>1336</v>
      </c>
      <c r="F298" s="297" t="s">
        <v>3060</v>
      </c>
      <c r="G298" s="297"/>
      <c r="H298" s="297" t="s">
        <v>3331</v>
      </c>
      <c r="I298" s="297" t="s">
        <v>3332</v>
      </c>
      <c r="J298" s="45" t="str">
        <f t="shared" si="8"/>
        <v>TantalumTelex Metals</v>
      </c>
      <c r="K298" s="45" t="str">
        <f t="shared" si="9"/>
        <v>TantalumTelex Metals</v>
      </c>
      <c r="L298" s="243"/>
    </row>
    <row r="299" spans="1:12" ht="10.5" customHeight="1">
      <c r="A299" s="297" t="s">
        <v>2292</v>
      </c>
      <c r="B299" s="297" t="s">
        <v>3363</v>
      </c>
      <c r="C299" s="297" t="s">
        <v>3363</v>
      </c>
      <c r="D299" s="297" t="s">
        <v>4880</v>
      </c>
      <c r="E299" s="297" t="s">
        <v>3364</v>
      </c>
      <c r="F299" s="297" t="s">
        <v>3060</v>
      </c>
      <c r="G299" s="297"/>
      <c r="H299" s="297" t="s">
        <v>3365</v>
      </c>
      <c r="I299" s="297" t="s">
        <v>3332</v>
      </c>
      <c r="J299" s="45" t="str">
        <f t="shared" si="8"/>
        <v>TantalumTranzact, Inc.</v>
      </c>
      <c r="K299" s="45" t="str">
        <f t="shared" si="9"/>
        <v>TantalumTranzact, Inc.</v>
      </c>
      <c r="L299" s="243"/>
    </row>
    <row r="300" spans="1:12" ht="10.5" customHeight="1">
      <c r="A300" s="297" t="s">
        <v>2292</v>
      </c>
      <c r="B300" s="297" t="s">
        <v>4238</v>
      </c>
      <c r="C300" s="297" t="s">
        <v>3333</v>
      </c>
      <c r="D300" s="297" t="s">
        <v>2218</v>
      </c>
      <c r="E300" s="297" t="s">
        <v>1337</v>
      </c>
      <c r="F300" s="297" t="s">
        <v>3060</v>
      </c>
      <c r="G300" s="297"/>
      <c r="H300" s="297" t="s">
        <v>3149</v>
      </c>
      <c r="I300" s="297" t="s">
        <v>3334</v>
      </c>
      <c r="J300" s="45" t="str">
        <f t="shared" si="8"/>
        <v>TantalumULBA</v>
      </c>
      <c r="K300" s="45" t="str">
        <f t="shared" si="9"/>
        <v>TantalumULBA</v>
      </c>
      <c r="L300" s="243"/>
    </row>
    <row r="301" spans="1:12" ht="10.5" customHeight="1">
      <c r="A301" s="297" t="s">
        <v>2292</v>
      </c>
      <c r="B301" s="297" t="s">
        <v>3333</v>
      </c>
      <c r="C301" s="297" t="s">
        <v>3333</v>
      </c>
      <c r="D301" s="297" t="s">
        <v>2218</v>
      </c>
      <c r="E301" s="297" t="s">
        <v>1337</v>
      </c>
      <c r="F301" s="297" t="s">
        <v>3060</v>
      </c>
      <c r="G301" s="297"/>
      <c r="H301" s="297" t="s">
        <v>3149</v>
      </c>
      <c r="I301" s="297" t="s">
        <v>3334</v>
      </c>
      <c r="J301" s="45" t="str">
        <f t="shared" si="8"/>
        <v>TantalumUlba Metallurgical Plant JSC</v>
      </c>
      <c r="K301" s="45" t="str">
        <f t="shared" si="9"/>
        <v>TantalumUlba Metallurgical Plant JSC</v>
      </c>
      <c r="L301" s="243"/>
    </row>
    <row r="302" spans="1:12" ht="10.5" customHeight="1">
      <c r="A302" s="297" t="s">
        <v>2292</v>
      </c>
      <c r="B302" s="297" t="s">
        <v>4075</v>
      </c>
      <c r="C302" s="297" t="s">
        <v>4075</v>
      </c>
      <c r="D302" s="297" t="s">
        <v>2150</v>
      </c>
      <c r="E302" s="297" t="s">
        <v>2655</v>
      </c>
      <c r="F302" s="297" t="s">
        <v>3060</v>
      </c>
      <c r="G302" s="297"/>
      <c r="H302" s="297" t="s">
        <v>3341</v>
      </c>
      <c r="I302" s="297" t="s">
        <v>3270</v>
      </c>
      <c r="J302" s="45" t="str">
        <f t="shared" si="8"/>
        <v>TantalumXinXing HaoRong Electronic Material Co., Ltd.</v>
      </c>
      <c r="K302" s="45" t="str">
        <f t="shared" si="9"/>
        <v>TantalumXinXing HaoRong Electronic Material Co., Ltd.</v>
      </c>
      <c r="L302" s="243"/>
    </row>
    <row r="303" spans="1:12" ht="10.5" customHeight="1">
      <c r="A303" s="297" t="s">
        <v>2292</v>
      </c>
      <c r="B303" s="297" t="s">
        <v>4070</v>
      </c>
      <c r="C303" s="297" t="s">
        <v>4070</v>
      </c>
      <c r="D303" s="297" t="s">
        <v>2150</v>
      </c>
      <c r="E303" s="297" t="s">
        <v>77</v>
      </c>
      <c r="F303" s="297" t="s">
        <v>3060</v>
      </c>
      <c r="G303" s="297"/>
      <c r="H303" s="297" t="s">
        <v>3311</v>
      </c>
      <c r="I303" s="297" t="s">
        <v>3139</v>
      </c>
      <c r="J303" s="45" t="str">
        <f t="shared" si="8"/>
        <v>TantalumYichun Jin Yang Rare Metal Co., Ltd.</v>
      </c>
      <c r="K303" s="45" t="str">
        <f t="shared" si="9"/>
        <v>TantalumYichun Jin Yang Rare Metal Co., Ltd.</v>
      </c>
      <c r="L303" s="243"/>
    </row>
    <row r="304" spans="1:12" ht="10.5" customHeight="1">
      <c r="A304" s="297" t="s">
        <v>2292</v>
      </c>
      <c r="B304" s="297" t="s">
        <v>4187</v>
      </c>
      <c r="C304" s="297" t="s">
        <v>2337</v>
      </c>
      <c r="D304" s="297" t="s">
        <v>2150</v>
      </c>
      <c r="E304" s="297" t="s">
        <v>1317</v>
      </c>
      <c r="F304" s="297" t="s">
        <v>3060</v>
      </c>
      <c r="G304" s="297"/>
      <c r="H304" s="297" t="s">
        <v>3303</v>
      </c>
      <c r="I304" s="297" t="s">
        <v>3270</v>
      </c>
      <c r="J304" s="45" t="str">
        <f t="shared" si="8"/>
        <v>TantalumZhaoqing Duoluoshan Non-ferrous Metals Co.,Ltd</v>
      </c>
      <c r="K304" s="45" t="str">
        <f t="shared" si="9"/>
        <v>TantalumZhaoqing Duoluoshan Non-ferrous Metals Co.,Ltd</v>
      </c>
      <c r="L304" s="243"/>
    </row>
    <row r="305" spans="1:12" ht="10.5" customHeight="1">
      <c r="A305" s="297" t="s">
        <v>2292</v>
      </c>
      <c r="B305" s="297" t="s">
        <v>3335</v>
      </c>
      <c r="C305" s="297" t="s">
        <v>4908</v>
      </c>
      <c r="D305" s="297" t="s">
        <v>2150</v>
      </c>
      <c r="E305" s="297" t="s">
        <v>1338</v>
      </c>
      <c r="F305" s="297" t="s">
        <v>3060</v>
      </c>
      <c r="G305" s="297"/>
      <c r="H305" s="297" t="s">
        <v>3326</v>
      </c>
      <c r="I305" s="297" t="s">
        <v>3121</v>
      </c>
      <c r="J305" s="45" t="str">
        <f t="shared" si="8"/>
        <v>TantalumZhuzhou Cemented Carbide Group</v>
      </c>
      <c r="K305" s="45" t="str">
        <f t="shared" si="9"/>
        <v>TantalumZhuzhou Cemented Carbide Group</v>
      </c>
      <c r="L305" s="243"/>
    </row>
    <row r="306" spans="1:12" ht="10.5" customHeight="1">
      <c r="A306" s="297" t="s">
        <v>2292</v>
      </c>
      <c r="B306" s="297" t="s">
        <v>4908</v>
      </c>
      <c r="C306" s="297" t="s">
        <v>4908</v>
      </c>
      <c r="D306" s="297" t="s">
        <v>2150</v>
      </c>
      <c r="E306" s="297" t="s">
        <v>1338</v>
      </c>
      <c r="F306" s="297" t="s">
        <v>3060</v>
      </c>
      <c r="G306" s="297"/>
      <c r="H306" s="297" t="s">
        <v>3326</v>
      </c>
      <c r="I306" s="297" t="s">
        <v>3121</v>
      </c>
      <c r="J306" s="45" t="str">
        <f t="shared" si="8"/>
        <v>TantalumZhuzhou Cemented Carbide Group Co., Ltd.</v>
      </c>
      <c r="K306" s="45" t="str">
        <f t="shared" si="9"/>
        <v>TantalumZhuzhou Cemented Carbide Group Co., Ltd.</v>
      </c>
      <c r="L306" s="243"/>
    </row>
    <row r="307" spans="1:12" ht="10.5" customHeight="1">
      <c r="A307" s="297" t="s">
        <v>2292</v>
      </c>
      <c r="B307" s="297" t="s">
        <v>3336</v>
      </c>
      <c r="C307" s="297" t="s">
        <v>4908</v>
      </c>
      <c r="D307" s="297" t="s">
        <v>2150</v>
      </c>
      <c r="E307" s="297" t="s">
        <v>1338</v>
      </c>
      <c r="F307" s="297" t="s">
        <v>3060</v>
      </c>
      <c r="G307" s="297"/>
      <c r="H307" s="297" t="s">
        <v>3326</v>
      </c>
      <c r="I307" s="297" t="s">
        <v>3121</v>
      </c>
      <c r="J307" s="45" t="str">
        <f t="shared" si="8"/>
        <v>TantalumZhuzhou Cemented Carbide Works Imp. &amp; Exp. Co.</v>
      </c>
      <c r="K307" s="45" t="str">
        <f t="shared" si="9"/>
        <v>TantalumZhuzhou Cemented Carbide Works Imp. &amp; Exp. Co.</v>
      </c>
      <c r="L307" s="243"/>
    </row>
    <row r="308" spans="1:12" ht="10.5" customHeight="1">
      <c r="A308" s="243" t="s">
        <v>2292</v>
      </c>
      <c r="B308" s="243" t="s">
        <v>3517</v>
      </c>
      <c r="C308" s="243"/>
      <c r="D308" s="243"/>
      <c r="E308" s="243"/>
      <c r="F308" s="243"/>
      <c r="G308" s="243"/>
      <c r="H308" s="243"/>
      <c r="I308" s="243"/>
      <c r="J308" s="45" t="str">
        <f t="shared" si="8"/>
        <v>TantalumSmelter not listed</v>
      </c>
      <c r="K308" s="45" t="str">
        <f t="shared" si="9"/>
        <v>TantalumSmelter not listed</v>
      </c>
    </row>
    <row r="309" spans="1:12" ht="10.5" customHeight="1">
      <c r="A309" s="243" t="s">
        <v>2292</v>
      </c>
      <c r="B309" s="243" t="s">
        <v>2538</v>
      </c>
      <c r="C309" s="243" t="s">
        <v>906</v>
      </c>
      <c r="D309" s="243" t="s">
        <v>906</v>
      </c>
      <c r="E309" s="243"/>
      <c r="F309" s="243"/>
      <c r="G309" s="243"/>
      <c r="H309" s="243"/>
      <c r="I309" s="243"/>
      <c r="J309" s="45" t="str">
        <f t="shared" si="8"/>
        <v>TantalumSmelter not yet identified</v>
      </c>
      <c r="K309" s="45" t="str">
        <f t="shared" si="9"/>
        <v>TantalumSmelter not yet identified</v>
      </c>
    </row>
    <row r="310" spans="1:12" ht="10.5" customHeight="1">
      <c r="A310" s="297" t="s">
        <v>2291</v>
      </c>
      <c r="B310" s="297" t="s">
        <v>3376</v>
      </c>
      <c r="C310" s="297" t="s">
        <v>66</v>
      </c>
      <c r="D310" s="297" t="s">
        <v>4880</v>
      </c>
      <c r="E310" s="297" t="s">
        <v>1341</v>
      </c>
      <c r="F310" s="297" t="s">
        <v>3060</v>
      </c>
      <c r="G310" s="297"/>
      <c r="H310" s="297" t="s">
        <v>3375</v>
      </c>
      <c r="I310" s="297" t="s">
        <v>3332</v>
      </c>
      <c r="J310" s="45" t="str">
        <f t="shared" si="8"/>
        <v>TinAlent plc</v>
      </c>
      <c r="K310" s="45" t="str">
        <f t="shared" si="9"/>
        <v>TinAlent plc</v>
      </c>
      <c r="L310" s="243"/>
    </row>
    <row r="311" spans="1:12" ht="10.5" customHeight="1">
      <c r="A311" s="297" t="s">
        <v>2291</v>
      </c>
      <c r="B311" s="297" t="s">
        <v>66</v>
      </c>
      <c r="C311" s="297" t="s">
        <v>66</v>
      </c>
      <c r="D311" s="297" t="s">
        <v>4880</v>
      </c>
      <c r="E311" s="297" t="s">
        <v>1341</v>
      </c>
      <c r="F311" s="297" t="s">
        <v>3060</v>
      </c>
      <c r="G311" s="297"/>
      <c r="H311" s="297" t="s">
        <v>3375</v>
      </c>
      <c r="I311" s="297" t="s">
        <v>3332</v>
      </c>
      <c r="J311" s="45" t="str">
        <f t="shared" si="8"/>
        <v>TinAlpha</v>
      </c>
      <c r="K311" s="45" t="str">
        <f t="shared" si="9"/>
        <v>TinAlpha</v>
      </c>
      <c r="L311" s="243"/>
    </row>
    <row r="312" spans="1:12" ht="10.5" customHeight="1">
      <c r="A312" s="297" t="s">
        <v>2291</v>
      </c>
      <c r="B312" s="297" t="s">
        <v>3378</v>
      </c>
      <c r="C312" s="297" t="s">
        <v>66</v>
      </c>
      <c r="D312" s="297" t="s">
        <v>4880</v>
      </c>
      <c r="E312" s="297" t="s">
        <v>1341</v>
      </c>
      <c r="F312" s="297" t="s">
        <v>3060</v>
      </c>
      <c r="G312" s="297"/>
      <c r="H312" s="297" t="s">
        <v>3375</v>
      </c>
      <c r="I312" s="297" t="s">
        <v>3332</v>
      </c>
      <c r="J312" s="45" t="str">
        <f t="shared" si="8"/>
        <v>TinAlpha Metals</v>
      </c>
      <c r="K312" s="45" t="str">
        <f t="shared" si="9"/>
        <v>TinAlpha Metals</v>
      </c>
      <c r="L312" s="243"/>
    </row>
    <row r="313" spans="1:12" ht="10.5" customHeight="1">
      <c r="A313" s="297" t="s">
        <v>2291</v>
      </c>
      <c r="B313" s="297" t="s">
        <v>4188</v>
      </c>
      <c r="C313" s="297" t="s">
        <v>66</v>
      </c>
      <c r="D313" s="297" t="s">
        <v>4880</v>
      </c>
      <c r="E313" s="297" t="s">
        <v>1341</v>
      </c>
      <c r="F313" s="297" t="s">
        <v>3060</v>
      </c>
      <c r="G313" s="297"/>
      <c r="H313" s="297" t="s">
        <v>3375</v>
      </c>
      <c r="I313" s="297" t="s">
        <v>3332</v>
      </c>
      <c r="J313" s="45" t="str">
        <f t="shared" si="8"/>
        <v>TinAlpha Metals Korea Ltd.</v>
      </c>
      <c r="K313" s="45" t="str">
        <f t="shared" si="9"/>
        <v>TinAlpha Metals Korea Ltd.</v>
      </c>
      <c r="L313" s="243"/>
    </row>
    <row r="314" spans="1:12" ht="10.5" customHeight="1">
      <c r="A314" s="297" t="s">
        <v>2291</v>
      </c>
      <c r="B314" s="297" t="s">
        <v>3377</v>
      </c>
      <c r="C314" s="297" t="s">
        <v>66</v>
      </c>
      <c r="D314" s="297" t="s">
        <v>4880</v>
      </c>
      <c r="E314" s="297" t="s">
        <v>1341</v>
      </c>
      <c r="F314" s="297" t="s">
        <v>3060</v>
      </c>
      <c r="G314" s="297"/>
      <c r="H314" s="297" t="s">
        <v>3375</v>
      </c>
      <c r="I314" s="297" t="s">
        <v>3332</v>
      </c>
      <c r="J314" s="45" t="str">
        <f t="shared" si="8"/>
        <v>TinAlpha Metals Taiwan</v>
      </c>
      <c r="K314" s="45" t="str">
        <f t="shared" si="9"/>
        <v>TinAlpha Metals Taiwan</v>
      </c>
      <c r="L314" s="243"/>
    </row>
    <row r="315" spans="1:12" ht="10.5" customHeight="1">
      <c r="A315" s="297" t="s">
        <v>2291</v>
      </c>
      <c r="B315" s="297" t="s">
        <v>4604</v>
      </c>
      <c r="C315" s="297" t="s">
        <v>4604</v>
      </c>
      <c r="D315" s="297" t="s">
        <v>1737</v>
      </c>
      <c r="E315" s="297" t="s">
        <v>4206</v>
      </c>
      <c r="F315" s="297" t="s">
        <v>3060</v>
      </c>
      <c r="G315" s="297"/>
      <c r="H315" s="297" t="s">
        <v>3459</v>
      </c>
      <c r="I315" s="297" t="s">
        <v>3460</v>
      </c>
      <c r="J315" s="45" t="str">
        <f t="shared" si="8"/>
        <v>TinAn Thai Minerals Co., Ltd.</v>
      </c>
      <c r="K315" s="45" t="str">
        <f t="shared" si="9"/>
        <v>TinAn Thai Minerals Co., Ltd.</v>
      </c>
      <c r="L315" s="243"/>
    </row>
    <row r="316" spans="1:12" ht="10.5" customHeight="1">
      <c r="A316" s="297" t="s">
        <v>2291</v>
      </c>
      <c r="B316" s="297" t="s">
        <v>4030</v>
      </c>
      <c r="C316" s="297" t="s">
        <v>4030</v>
      </c>
      <c r="D316" s="297" t="s">
        <v>1737</v>
      </c>
      <c r="E316" s="297" t="s">
        <v>4031</v>
      </c>
      <c r="F316" s="297" t="s">
        <v>3060</v>
      </c>
      <c r="G316" s="297"/>
      <c r="H316" s="297" t="s">
        <v>3459</v>
      </c>
      <c r="I316" s="297" t="s">
        <v>3460</v>
      </c>
      <c r="J316" s="45" t="str">
        <f t="shared" si="8"/>
        <v>TinAn Vinh Joint Stock Mineral Processing Company</v>
      </c>
      <c r="K316" s="45" t="str">
        <f t="shared" si="9"/>
        <v>TinAn Vinh Joint Stock Mineral Processing Company</v>
      </c>
      <c r="L316" s="243"/>
    </row>
    <row r="317" spans="1:12" ht="10.5" customHeight="1">
      <c r="A317" s="297" t="s">
        <v>2291</v>
      </c>
      <c r="B317" s="297" t="s">
        <v>53</v>
      </c>
      <c r="C317" s="297" t="s">
        <v>1172</v>
      </c>
      <c r="D317" s="297" t="s">
        <v>2206</v>
      </c>
      <c r="E317" s="297" t="s">
        <v>1365</v>
      </c>
      <c r="F317" s="297" t="s">
        <v>3060</v>
      </c>
      <c r="G317" s="297"/>
      <c r="H317" s="297" t="s">
        <v>3388</v>
      </c>
      <c r="I317" s="297" t="s">
        <v>3385</v>
      </c>
      <c r="J317" s="45" t="str">
        <f t="shared" si="8"/>
        <v>TinBrand IMLI</v>
      </c>
      <c r="K317" s="45" t="str">
        <f t="shared" si="9"/>
        <v>TinBrand IMLI</v>
      </c>
      <c r="L317" s="243"/>
    </row>
    <row r="318" spans="1:12" ht="10.5" customHeight="1">
      <c r="A318" s="297" t="s">
        <v>2291</v>
      </c>
      <c r="B318" s="297" t="s">
        <v>3423</v>
      </c>
      <c r="C318" s="297" t="s">
        <v>4057</v>
      </c>
      <c r="D318" s="297" t="s">
        <v>2206</v>
      </c>
      <c r="E318" s="297" t="s">
        <v>1372</v>
      </c>
      <c r="F318" s="297" t="s">
        <v>3060</v>
      </c>
      <c r="G318" s="297"/>
      <c r="H318" s="297" t="s">
        <v>3384</v>
      </c>
      <c r="I318" s="297" t="s">
        <v>3385</v>
      </c>
      <c r="J318" s="45" t="str">
        <f t="shared" si="8"/>
        <v>TinBrand RBT</v>
      </c>
      <c r="K318" s="45" t="str">
        <f t="shared" si="9"/>
        <v>TinBrand RBT</v>
      </c>
      <c r="L318" s="243"/>
    </row>
    <row r="319" spans="1:12" ht="10.5" customHeight="1">
      <c r="A319" s="297" t="s">
        <v>2291</v>
      </c>
      <c r="B319" s="297" t="s">
        <v>4189</v>
      </c>
      <c r="C319" s="297" t="s">
        <v>4069</v>
      </c>
      <c r="D319" s="297" t="s">
        <v>2150</v>
      </c>
      <c r="E319" s="297" t="s">
        <v>1382</v>
      </c>
      <c r="F319" s="297" t="s">
        <v>3060</v>
      </c>
      <c r="G319" s="297"/>
      <c r="H319" s="297" t="s">
        <v>4910</v>
      </c>
      <c r="I319" s="297" t="s">
        <v>3096</v>
      </c>
      <c r="J319" s="45" t="str">
        <f t="shared" si="8"/>
        <v>TinChengfeng Metals Co Pte Ltd</v>
      </c>
      <c r="K319" s="45" t="str">
        <f t="shared" si="9"/>
        <v>TinChengfeng Metals Co Pte Ltd</v>
      </c>
      <c r="L319" s="243"/>
    </row>
    <row r="320" spans="1:12" ht="10.5" customHeight="1">
      <c r="A320" s="297" t="s">
        <v>2291</v>
      </c>
      <c r="B320" s="297" t="s">
        <v>4239</v>
      </c>
      <c r="C320" s="297" t="s">
        <v>4605</v>
      </c>
      <c r="D320" s="297" t="s">
        <v>2150</v>
      </c>
      <c r="E320" s="297" t="s">
        <v>4275</v>
      </c>
      <c r="F320" s="297" t="s">
        <v>3060</v>
      </c>
      <c r="G320" s="297"/>
      <c r="H320" s="297" t="s">
        <v>4987</v>
      </c>
      <c r="I320" s="297" t="s">
        <v>3121</v>
      </c>
      <c r="J320" s="45" t="str">
        <f t="shared" si="8"/>
        <v>TinChenzhou Yun Xiang mining limited liability company</v>
      </c>
      <c r="K320" s="45" t="str">
        <f t="shared" si="9"/>
        <v>TinChenzhou Yun Xiang mining limited liability company</v>
      </c>
      <c r="L320" s="243"/>
    </row>
    <row r="321" spans="1:12" ht="10.5" customHeight="1">
      <c r="A321" s="297" t="s">
        <v>2291</v>
      </c>
      <c r="B321" s="297" t="s">
        <v>4605</v>
      </c>
      <c r="C321" s="297" t="s">
        <v>4605</v>
      </c>
      <c r="D321" s="297" t="s">
        <v>2150</v>
      </c>
      <c r="E321" s="297" t="s">
        <v>4275</v>
      </c>
      <c r="F321" s="297" t="s">
        <v>3060</v>
      </c>
      <c r="G321" s="297"/>
      <c r="H321" s="297" t="s">
        <v>4987</v>
      </c>
      <c r="I321" s="297" t="s">
        <v>3121</v>
      </c>
      <c r="J321" s="45" t="str">
        <f t="shared" si="8"/>
        <v>TinChenzhou Yunxiang Mining and Metallurgy Co., Ltd.</v>
      </c>
      <c r="K321" s="45" t="str">
        <f t="shared" si="9"/>
        <v>TinChenzhou Yunxiang Mining and Metallurgy Co., Ltd.</v>
      </c>
      <c r="L321" s="243"/>
    </row>
    <row r="322" spans="1:12" ht="10.5" customHeight="1">
      <c r="A322" s="297" t="s">
        <v>2291</v>
      </c>
      <c r="B322" s="297" t="s">
        <v>4190</v>
      </c>
      <c r="C322" s="297" t="s">
        <v>3371</v>
      </c>
      <c r="D322" s="297" t="s">
        <v>2150</v>
      </c>
      <c r="E322" s="297" t="s">
        <v>1339</v>
      </c>
      <c r="F322" s="297" t="s">
        <v>3060</v>
      </c>
      <c r="G322" s="297"/>
      <c r="H322" s="297" t="s">
        <v>3337</v>
      </c>
      <c r="I322" s="297" t="s">
        <v>3139</v>
      </c>
      <c r="J322" s="45" t="str">
        <f t="shared" si="8"/>
        <v>TinChina Rare Metal Material Co., Ltd.</v>
      </c>
      <c r="K322" s="45" t="str">
        <f t="shared" si="9"/>
        <v>TinChina Rare Metal Material Co., Ltd.</v>
      </c>
      <c r="L322" s="243"/>
    </row>
    <row r="323" spans="1:12" ht="10.5" customHeight="1">
      <c r="A323" s="297" t="s">
        <v>2291</v>
      </c>
      <c r="B323" s="297" t="s">
        <v>4191</v>
      </c>
      <c r="C323" s="297" t="s">
        <v>2543</v>
      </c>
      <c r="D323" s="297" t="s">
        <v>2150</v>
      </c>
      <c r="E323" s="297" t="s">
        <v>1353</v>
      </c>
      <c r="F323" s="297" t="s">
        <v>3060</v>
      </c>
      <c r="G323" s="297"/>
      <c r="H323" s="297" t="s">
        <v>3400</v>
      </c>
      <c r="I323" s="297" t="s">
        <v>3373</v>
      </c>
      <c r="J323" s="45" t="str">
        <f t="shared" si="8"/>
        <v>TinChina Tin (Hechi)</v>
      </c>
      <c r="K323" s="45" t="str">
        <f t="shared" si="9"/>
        <v>TinChina Tin (Hechi)</v>
      </c>
      <c r="L323" s="243"/>
    </row>
    <row r="324" spans="1:12" ht="10.5" customHeight="1">
      <c r="A324" s="297" t="s">
        <v>2291</v>
      </c>
      <c r="B324" s="297" t="s">
        <v>2543</v>
      </c>
      <c r="C324" s="297" t="s">
        <v>2543</v>
      </c>
      <c r="D324" s="297" t="s">
        <v>2150</v>
      </c>
      <c r="E324" s="297" t="s">
        <v>1353</v>
      </c>
      <c r="F324" s="297" t="s">
        <v>3060</v>
      </c>
      <c r="G324" s="297"/>
      <c r="H324" s="297" t="s">
        <v>3400</v>
      </c>
      <c r="I324" s="297" t="s">
        <v>3373</v>
      </c>
      <c r="J324" s="45" t="str">
        <f t="shared" si="8"/>
        <v>TinChina Tin Group Co., Ltd.</v>
      </c>
      <c r="K324" s="45" t="str">
        <f t="shared" si="9"/>
        <v>TinChina Tin Group Co., Ltd.</v>
      </c>
      <c r="L324" s="243"/>
    </row>
    <row r="325" spans="1:12" ht="10.5" customHeight="1">
      <c r="A325" s="297" t="s">
        <v>2291</v>
      </c>
      <c r="B325" s="297" t="s">
        <v>4192</v>
      </c>
      <c r="C325" s="297" t="s">
        <v>2543</v>
      </c>
      <c r="D325" s="297" t="s">
        <v>2150</v>
      </c>
      <c r="E325" s="297" t="s">
        <v>1353</v>
      </c>
      <c r="F325" s="297" t="s">
        <v>3060</v>
      </c>
      <c r="G325" s="297"/>
      <c r="H325" s="297" t="s">
        <v>3400</v>
      </c>
      <c r="I325" s="297" t="s">
        <v>3373</v>
      </c>
      <c r="J325" s="45" t="str">
        <f t="shared" si="8"/>
        <v>TinChina Tin Lai Ben Smelter Co., Ltd.</v>
      </c>
      <c r="K325" s="45" t="str">
        <f t="shared" si="9"/>
        <v>TinChina Tin Lai Ben Smelter Co., Ltd.</v>
      </c>
      <c r="L325" s="243"/>
    </row>
    <row r="326" spans="1:12" ht="10.5" customHeight="1">
      <c r="A326" s="297" t="s">
        <v>2291</v>
      </c>
      <c r="B326" s="297" t="s">
        <v>54</v>
      </c>
      <c r="C326" s="297" t="s">
        <v>4621</v>
      </c>
      <c r="D326" s="297" t="s">
        <v>2150</v>
      </c>
      <c r="E326" s="297" t="s">
        <v>1383</v>
      </c>
      <c r="F326" s="297" t="s">
        <v>3060</v>
      </c>
      <c r="G326" s="297"/>
      <c r="H326" s="297" t="s">
        <v>4910</v>
      </c>
      <c r="I326" s="297" t="s">
        <v>3096</v>
      </c>
      <c r="J326" s="45" t="str">
        <f t="shared" si="8"/>
        <v>TinChina Yunnan Tin Co Ltd.</v>
      </c>
      <c r="K326" s="45" t="str">
        <f t="shared" si="9"/>
        <v>TinChina Yunnan Tin Co Ltd.</v>
      </c>
      <c r="L326" s="243"/>
    </row>
    <row r="327" spans="1:12" ht="10.5" customHeight="1">
      <c r="A327" s="297" t="s">
        <v>2291</v>
      </c>
      <c r="B327" s="297" t="s">
        <v>4039</v>
      </c>
      <c r="C327" s="297" t="s">
        <v>4039</v>
      </c>
      <c r="D327" s="297" t="s">
        <v>2150</v>
      </c>
      <c r="E327" s="297" t="s">
        <v>1340</v>
      </c>
      <c r="F327" s="297" t="s">
        <v>3060</v>
      </c>
      <c r="G327" s="297"/>
      <c r="H327" s="297" t="s">
        <v>3372</v>
      </c>
      <c r="I327" s="297" t="s">
        <v>3373</v>
      </c>
      <c r="J327" s="45" t="str">
        <f t="shared" si="8"/>
        <v>TinCNMC (Guangxi) PGMA Co., Ltd.</v>
      </c>
      <c r="K327" s="45" t="str">
        <f t="shared" si="9"/>
        <v>TinCNMC (Guangxi) PGMA Co., Ltd.</v>
      </c>
      <c r="L327" s="243"/>
    </row>
    <row r="328" spans="1:12" ht="10.5" customHeight="1">
      <c r="A328" s="297" t="s">
        <v>2291</v>
      </c>
      <c r="B328" s="297" t="s">
        <v>1477</v>
      </c>
      <c r="C328" s="297" t="s">
        <v>66</v>
      </c>
      <c r="D328" s="297" t="s">
        <v>4880</v>
      </c>
      <c r="E328" s="297" t="s">
        <v>1341</v>
      </c>
      <c r="F328" s="297" t="s">
        <v>3060</v>
      </c>
      <c r="G328" s="297"/>
      <c r="H328" s="297" t="s">
        <v>3375</v>
      </c>
      <c r="I328" s="297" t="s">
        <v>3332</v>
      </c>
      <c r="J328" s="45" t="str">
        <f t="shared" si="8"/>
        <v>TinCookson</v>
      </c>
      <c r="K328" s="45" t="str">
        <f t="shared" si="9"/>
        <v>TinCookson</v>
      </c>
      <c r="L328" s="243"/>
    </row>
    <row r="329" spans="1:12" ht="10.5" customHeight="1">
      <c r="A329" s="297" t="s">
        <v>2291</v>
      </c>
      <c r="B329" s="297" t="s">
        <v>3379</v>
      </c>
      <c r="C329" s="297" t="s">
        <v>66</v>
      </c>
      <c r="D329" s="297" t="s">
        <v>4880</v>
      </c>
      <c r="E329" s="297" t="s">
        <v>1341</v>
      </c>
      <c r="F329" s="297" t="s">
        <v>3060</v>
      </c>
      <c r="G329" s="297"/>
      <c r="H329" s="297" t="s">
        <v>3375</v>
      </c>
      <c r="I329" s="297" t="s">
        <v>3332</v>
      </c>
      <c r="J329" s="45" t="str">
        <f t="shared" si="8"/>
        <v>TinCookson (Alpha Metals Taiwan)</v>
      </c>
      <c r="K329" s="45" t="str">
        <f t="shared" si="9"/>
        <v>TinCookson (Alpha Metals Taiwan)</v>
      </c>
      <c r="L329" s="243"/>
    </row>
    <row r="330" spans="1:12" ht="10.5" customHeight="1">
      <c r="A330" s="297" t="s">
        <v>2291</v>
      </c>
      <c r="B330" s="297" t="s">
        <v>3380</v>
      </c>
      <c r="C330" s="297" t="s">
        <v>66</v>
      </c>
      <c r="D330" s="297" t="s">
        <v>4880</v>
      </c>
      <c r="E330" s="297" t="s">
        <v>1341</v>
      </c>
      <c r="F330" s="297" t="s">
        <v>3060</v>
      </c>
      <c r="G330" s="297"/>
      <c r="H330" s="297" t="s">
        <v>3375</v>
      </c>
      <c r="I330" s="297" t="s">
        <v>3332</v>
      </c>
      <c r="J330" s="45" t="str">
        <f t="shared" ref="J330:J393" si="10">A330&amp;B330</f>
        <v>TinCookson Alpha Metals (Shenzhen) Co., Ltd.</v>
      </c>
      <c r="K330" s="45" t="str">
        <f t="shared" ref="K330:K393" si="11">A330&amp;B330</f>
        <v>TinCookson Alpha Metals (Shenzhen) Co., Ltd.</v>
      </c>
      <c r="L330" s="243"/>
    </row>
    <row r="331" spans="1:12" ht="10.5" customHeight="1">
      <c r="A331" s="297" t="s">
        <v>2291</v>
      </c>
      <c r="B331" s="297" t="s">
        <v>4033</v>
      </c>
      <c r="C331" s="297" t="s">
        <v>3381</v>
      </c>
      <c r="D331" s="297" t="s">
        <v>2139</v>
      </c>
      <c r="E331" s="297" t="s">
        <v>1342</v>
      </c>
      <c r="F331" s="297" t="s">
        <v>3060</v>
      </c>
      <c r="G331" s="297"/>
      <c r="H331" s="297" t="s">
        <v>3382</v>
      </c>
      <c r="I331" s="297" t="s">
        <v>3383</v>
      </c>
      <c r="J331" s="45" t="str">
        <f t="shared" si="10"/>
        <v>TinCooper Santa</v>
      </c>
      <c r="K331" s="45" t="str">
        <f t="shared" si="11"/>
        <v>TinCooper Santa</v>
      </c>
      <c r="L331" s="243"/>
    </row>
    <row r="332" spans="1:12" ht="10.5" customHeight="1">
      <c r="A332" s="297" t="s">
        <v>2291</v>
      </c>
      <c r="B332" s="297" t="s">
        <v>3381</v>
      </c>
      <c r="C332" s="297" t="s">
        <v>3381</v>
      </c>
      <c r="D332" s="297" t="s">
        <v>2139</v>
      </c>
      <c r="E332" s="297" t="s">
        <v>1342</v>
      </c>
      <c r="F332" s="297" t="s">
        <v>3060</v>
      </c>
      <c r="G332" s="297"/>
      <c r="H332" s="297" t="s">
        <v>3382</v>
      </c>
      <c r="I332" s="297" t="s">
        <v>3383</v>
      </c>
      <c r="J332" s="45" t="str">
        <f t="shared" si="10"/>
        <v>TinCooperativa Metalurgica de Rondônia Ltda.</v>
      </c>
      <c r="K332" s="45" t="str">
        <f t="shared" si="11"/>
        <v>TinCooperativa Metalurgica de Rondônia Ltda.</v>
      </c>
      <c r="L332" s="243"/>
    </row>
    <row r="333" spans="1:12" ht="10.5" customHeight="1">
      <c r="A333" s="297" t="s">
        <v>2291</v>
      </c>
      <c r="B333" s="297" t="s">
        <v>4607</v>
      </c>
      <c r="C333" s="297" t="s">
        <v>3381</v>
      </c>
      <c r="D333" s="297" t="s">
        <v>2139</v>
      </c>
      <c r="E333" s="297" t="s">
        <v>1342</v>
      </c>
      <c r="F333" s="297" t="s">
        <v>3060</v>
      </c>
      <c r="G333" s="297"/>
      <c r="H333" s="297" t="s">
        <v>3382</v>
      </c>
      <c r="I333" s="297" t="s">
        <v>3383</v>
      </c>
      <c r="J333" s="45" t="str">
        <f t="shared" si="10"/>
        <v>TinCooperMetal</v>
      </c>
      <c r="K333" s="45" t="str">
        <f t="shared" si="11"/>
        <v>TinCooperMetal</v>
      </c>
      <c r="L333" s="243"/>
    </row>
    <row r="334" spans="1:12" ht="10.5" customHeight="1">
      <c r="A334" s="297" t="s">
        <v>2291</v>
      </c>
      <c r="B334" s="297" t="s">
        <v>3451</v>
      </c>
      <c r="C334" s="297" t="s">
        <v>3451</v>
      </c>
      <c r="D334" s="297" t="s">
        <v>2206</v>
      </c>
      <c r="E334" s="297" t="s">
        <v>3452</v>
      </c>
      <c r="F334" s="297" t="s">
        <v>3060</v>
      </c>
      <c r="G334" s="297"/>
      <c r="H334" s="297" t="s">
        <v>3384</v>
      </c>
      <c r="I334" s="297" t="s">
        <v>3385</v>
      </c>
      <c r="J334" s="45" t="str">
        <f t="shared" si="10"/>
        <v>TinCV Ayi Jaya</v>
      </c>
      <c r="K334" s="45" t="str">
        <f t="shared" si="11"/>
        <v>TinCV Ayi Jaya</v>
      </c>
      <c r="L334" s="243"/>
    </row>
    <row r="335" spans="1:12" ht="10.5" customHeight="1">
      <c r="A335" s="297" t="s">
        <v>2291</v>
      </c>
      <c r="B335" s="297" t="s">
        <v>4271</v>
      </c>
      <c r="C335" s="297" t="s">
        <v>4271</v>
      </c>
      <c r="D335" s="297" t="s">
        <v>2206</v>
      </c>
      <c r="E335" s="297" t="s">
        <v>4272</v>
      </c>
      <c r="F335" s="297" t="s">
        <v>3060</v>
      </c>
      <c r="G335" s="297"/>
      <c r="H335" s="297" t="s">
        <v>3388</v>
      </c>
      <c r="I335" s="297" t="s">
        <v>3385</v>
      </c>
      <c r="J335" s="45" t="str">
        <f t="shared" si="10"/>
        <v>TinCV Dua Sekawan</v>
      </c>
      <c r="K335" s="45" t="str">
        <f t="shared" si="11"/>
        <v>TinCV Dua Sekawan</v>
      </c>
      <c r="L335" s="243"/>
    </row>
    <row r="336" spans="1:12" ht="10.5" customHeight="1">
      <c r="A336" s="297" t="s">
        <v>2291</v>
      </c>
      <c r="B336" s="297" t="s">
        <v>2628</v>
      </c>
      <c r="C336" s="297" t="s">
        <v>2628</v>
      </c>
      <c r="D336" s="297" t="s">
        <v>2206</v>
      </c>
      <c r="E336" s="297" t="s">
        <v>2629</v>
      </c>
      <c r="F336" s="297" t="s">
        <v>3060</v>
      </c>
      <c r="G336" s="297"/>
      <c r="H336" s="297" t="s">
        <v>3384</v>
      </c>
      <c r="I336" s="297" t="s">
        <v>3385</v>
      </c>
      <c r="J336" s="45" t="str">
        <f t="shared" si="10"/>
        <v>TinCV Gita Pesona</v>
      </c>
      <c r="K336" s="45" t="str">
        <f t="shared" si="11"/>
        <v>TinCV Gita Pesona</v>
      </c>
      <c r="L336" s="243"/>
    </row>
    <row r="337" spans="1:20" ht="10.5" customHeight="1">
      <c r="A337" s="297" t="s">
        <v>2291</v>
      </c>
      <c r="B337" s="297" t="s">
        <v>4617</v>
      </c>
      <c r="C337" s="297" t="s">
        <v>4137</v>
      </c>
      <c r="D337" s="297" t="s">
        <v>2206</v>
      </c>
      <c r="E337" s="297" t="s">
        <v>2630</v>
      </c>
      <c r="F337" s="297" t="s">
        <v>3060</v>
      </c>
      <c r="G337" s="297"/>
      <c r="H337" s="297" t="s">
        <v>3386</v>
      </c>
      <c r="I337" s="297" t="s">
        <v>3385</v>
      </c>
      <c r="J337" s="45" t="str">
        <f t="shared" si="10"/>
        <v>TinCV JusTindo</v>
      </c>
      <c r="K337" s="45" t="str">
        <f t="shared" si="11"/>
        <v>TinCV JusTindo</v>
      </c>
      <c r="L337" s="243"/>
    </row>
    <row r="338" spans="1:20" ht="10.5" customHeight="1">
      <c r="A338" s="297" t="s">
        <v>2291</v>
      </c>
      <c r="B338" s="297" t="s">
        <v>4032</v>
      </c>
      <c r="C338" s="297" t="s">
        <v>4174</v>
      </c>
      <c r="D338" s="297" t="s">
        <v>2206</v>
      </c>
      <c r="E338" s="297" t="s">
        <v>2631</v>
      </c>
      <c r="F338" s="297" t="s">
        <v>3060</v>
      </c>
      <c r="G338" s="297"/>
      <c r="H338" s="297" t="s">
        <v>4909</v>
      </c>
      <c r="I338" s="297" t="s">
        <v>3385</v>
      </c>
      <c r="J338" s="45" t="str">
        <f t="shared" si="10"/>
        <v>TinCV Nurjanah</v>
      </c>
      <c r="K338" s="45" t="str">
        <f t="shared" si="11"/>
        <v>TinCV Nurjanah</v>
      </c>
      <c r="L338" s="243"/>
    </row>
    <row r="339" spans="1:20" ht="10.5" customHeight="1">
      <c r="A339" s="297" t="s">
        <v>2291</v>
      </c>
      <c r="B339" s="297" t="s">
        <v>1478</v>
      </c>
      <c r="C339" s="297" t="s">
        <v>1478</v>
      </c>
      <c r="D339" s="297" t="s">
        <v>2206</v>
      </c>
      <c r="E339" s="297" t="s">
        <v>1343</v>
      </c>
      <c r="F339" s="297" t="s">
        <v>3060</v>
      </c>
      <c r="G339" s="297"/>
      <c r="H339" s="297" t="s">
        <v>3387</v>
      </c>
      <c r="I339" s="297" t="s">
        <v>3385</v>
      </c>
      <c r="J339" s="45" t="str">
        <f t="shared" si="10"/>
        <v>TinCV Serumpun Sebalai</v>
      </c>
      <c r="K339" s="45" t="str">
        <f t="shared" si="11"/>
        <v>TinCV Serumpun Sebalai</v>
      </c>
      <c r="T339" s="243"/>
    </row>
    <row r="340" spans="1:20" ht="10.5" customHeight="1">
      <c r="A340" s="297" t="s">
        <v>2291</v>
      </c>
      <c r="B340" s="297" t="s">
        <v>4240</v>
      </c>
      <c r="C340" s="297" t="s">
        <v>4240</v>
      </c>
      <c r="D340" s="297" t="s">
        <v>2206</v>
      </c>
      <c r="E340" s="297" t="s">
        <v>4241</v>
      </c>
      <c r="F340" s="297" t="s">
        <v>3060</v>
      </c>
      <c r="G340" s="297"/>
      <c r="H340" s="297" t="s">
        <v>3388</v>
      </c>
      <c r="I340" s="297" t="s">
        <v>3385</v>
      </c>
      <c r="J340" s="45" t="str">
        <f t="shared" si="10"/>
        <v>TinCV Tiga Sekawan</v>
      </c>
      <c r="K340" s="45" t="str">
        <f t="shared" si="11"/>
        <v>TinCV Tiga Sekawan</v>
      </c>
      <c r="T340"/>
    </row>
    <row r="341" spans="1:20" ht="10.5" customHeight="1">
      <c r="A341" s="297" t="s">
        <v>2291</v>
      </c>
      <c r="B341" s="297" t="s">
        <v>1479</v>
      </c>
      <c r="C341" s="297" t="s">
        <v>1479</v>
      </c>
      <c r="D341" s="297" t="s">
        <v>2206</v>
      </c>
      <c r="E341" s="297" t="s">
        <v>1344</v>
      </c>
      <c r="F341" s="297" t="s">
        <v>3060</v>
      </c>
      <c r="G341" s="297"/>
      <c r="H341" s="297" t="s">
        <v>3388</v>
      </c>
      <c r="I341" s="297" t="s">
        <v>3385</v>
      </c>
      <c r="J341" s="45" t="str">
        <f t="shared" si="10"/>
        <v>TinCV United Smelting</v>
      </c>
      <c r="K341" s="45" t="str">
        <f t="shared" si="11"/>
        <v>TinCV United Smelting</v>
      </c>
      <c r="T341"/>
    </row>
    <row r="342" spans="1:20" ht="10.5" customHeight="1">
      <c r="A342" s="297" t="s">
        <v>2291</v>
      </c>
      <c r="B342" s="297" t="s">
        <v>2656</v>
      </c>
      <c r="C342" s="297" t="s">
        <v>2656</v>
      </c>
      <c r="D342" s="297" t="s">
        <v>2206</v>
      </c>
      <c r="E342" s="297" t="s">
        <v>2657</v>
      </c>
      <c r="F342" s="297" t="s">
        <v>3060</v>
      </c>
      <c r="G342" s="297"/>
      <c r="H342" s="297" t="s">
        <v>3388</v>
      </c>
      <c r="I342" s="297" t="s">
        <v>3385</v>
      </c>
      <c r="J342" s="45" t="str">
        <f t="shared" si="10"/>
        <v>TinCV Venus Inti Perkasa</v>
      </c>
      <c r="K342" s="45" t="str">
        <f t="shared" si="11"/>
        <v>TinCV Venus Inti Perkasa</v>
      </c>
      <c r="T342"/>
    </row>
    <row r="343" spans="1:20" ht="10.5" customHeight="1">
      <c r="A343" s="297" t="s">
        <v>2291</v>
      </c>
      <c r="B343" s="297" t="s">
        <v>1759</v>
      </c>
      <c r="C343" s="297" t="s">
        <v>1759</v>
      </c>
      <c r="D343" s="297" t="s">
        <v>2217</v>
      </c>
      <c r="E343" s="297" t="s">
        <v>2680</v>
      </c>
      <c r="F343" s="297" t="s">
        <v>3060</v>
      </c>
      <c r="G343" s="297"/>
      <c r="H343" s="297" t="s">
        <v>3108</v>
      </c>
      <c r="I343" s="297" t="s">
        <v>3109</v>
      </c>
      <c r="J343" s="45" t="str">
        <f t="shared" si="10"/>
        <v>TinDowa</v>
      </c>
      <c r="K343" s="45" t="str">
        <f t="shared" si="11"/>
        <v>TinDowa</v>
      </c>
      <c r="T343"/>
    </row>
    <row r="344" spans="1:20" ht="10.5" customHeight="1">
      <c r="A344" s="297" t="s">
        <v>2291</v>
      </c>
      <c r="B344" s="297" t="s">
        <v>3389</v>
      </c>
      <c r="C344" s="297" t="s">
        <v>1759</v>
      </c>
      <c r="D344" s="297" t="s">
        <v>2217</v>
      </c>
      <c r="E344" s="297" t="s">
        <v>2680</v>
      </c>
      <c r="F344" s="297" t="s">
        <v>3060</v>
      </c>
      <c r="G344" s="297"/>
      <c r="H344" s="297" t="s">
        <v>3108</v>
      </c>
      <c r="I344" s="297" t="s">
        <v>3109</v>
      </c>
      <c r="J344" s="45" t="str">
        <f t="shared" si="10"/>
        <v>TinDowa Metaltech Co., Ltd.</v>
      </c>
      <c r="K344" s="45" t="str">
        <f t="shared" si="11"/>
        <v>TinDowa Metaltech Co., Ltd.</v>
      </c>
      <c r="T344"/>
    </row>
    <row r="345" spans="1:20" ht="10.5" customHeight="1">
      <c r="A345" s="297" t="s">
        <v>2291</v>
      </c>
      <c r="B345" s="297" t="s">
        <v>3453</v>
      </c>
      <c r="C345" s="297" t="s">
        <v>3453</v>
      </c>
      <c r="D345" s="297" t="s">
        <v>1737</v>
      </c>
      <c r="E345" s="297" t="s">
        <v>3454</v>
      </c>
      <c r="F345" s="297" t="s">
        <v>3060</v>
      </c>
      <c r="G345" s="297"/>
      <c r="H345" s="297" t="s">
        <v>3455</v>
      </c>
      <c r="I345" s="297" t="s">
        <v>3456</v>
      </c>
      <c r="J345" s="45" t="str">
        <f t="shared" si="10"/>
        <v>TinElectro-Mechanical Facility of the Cao Bang Minerals &amp; Metallurgy Joint Stock Company</v>
      </c>
      <c r="K345" s="45" t="str">
        <f t="shared" si="11"/>
        <v>TinElectro-Mechanical Facility of the Cao Bang Minerals &amp; Metallurgy Joint Stock Company</v>
      </c>
      <c r="T345"/>
    </row>
    <row r="346" spans="1:20" ht="10.5" customHeight="1">
      <c r="A346" s="297" t="s">
        <v>2291</v>
      </c>
      <c r="B346" s="297" t="s">
        <v>4608</v>
      </c>
      <c r="C346" s="297" t="s">
        <v>4608</v>
      </c>
      <c r="D346" s="297" t="s">
        <v>2174</v>
      </c>
      <c r="E346" s="297" t="s">
        <v>3471</v>
      </c>
      <c r="F346" s="297" t="s">
        <v>3060</v>
      </c>
      <c r="G346" s="297"/>
      <c r="H346" s="297" t="s">
        <v>3472</v>
      </c>
      <c r="I346" s="297" t="s">
        <v>3473</v>
      </c>
      <c r="J346" s="45" t="str">
        <f t="shared" si="10"/>
        <v>TinElmet S.L.U.</v>
      </c>
      <c r="K346" s="45" t="str">
        <f t="shared" si="11"/>
        <v>TinElmet S.L.U.</v>
      </c>
      <c r="T346"/>
    </row>
    <row r="347" spans="1:20" ht="10.5" customHeight="1">
      <c r="A347" s="297" t="s">
        <v>2291</v>
      </c>
      <c r="B347" s="297" t="s">
        <v>1480</v>
      </c>
      <c r="C347" s="297" t="s">
        <v>1480</v>
      </c>
      <c r="D347" s="297" t="s">
        <v>4874</v>
      </c>
      <c r="E347" s="297" t="s">
        <v>1345</v>
      </c>
      <c r="F347" s="297" t="s">
        <v>3060</v>
      </c>
      <c r="G347" s="297"/>
      <c r="H347" s="297" t="s">
        <v>3390</v>
      </c>
      <c r="I347" s="297" t="s">
        <v>3391</v>
      </c>
      <c r="J347" s="45" t="str">
        <f t="shared" si="10"/>
        <v>TinEM Vinto</v>
      </c>
      <c r="K347" s="45" t="str">
        <f t="shared" si="11"/>
        <v>TinEM Vinto</v>
      </c>
      <c r="T347"/>
    </row>
    <row r="348" spans="1:20" ht="10.5" customHeight="1">
      <c r="A348" s="297" t="s">
        <v>2291</v>
      </c>
      <c r="B348" s="297" t="s">
        <v>4193</v>
      </c>
      <c r="C348" s="297" t="s">
        <v>1480</v>
      </c>
      <c r="D348" s="297" t="s">
        <v>4874</v>
      </c>
      <c r="E348" s="297" t="s">
        <v>1345</v>
      </c>
      <c r="F348" s="297" t="s">
        <v>3060</v>
      </c>
      <c r="G348" s="297"/>
      <c r="H348" s="297" t="s">
        <v>3390</v>
      </c>
      <c r="I348" s="297" t="s">
        <v>3391</v>
      </c>
      <c r="J348" s="45" t="str">
        <f t="shared" si="10"/>
        <v>TinEmpresa Metalúrgica Vinto</v>
      </c>
      <c r="K348" s="45" t="str">
        <f t="shared" si="11"/>
        <v>TinEmpresa Metalúrgica Vinto</v>
      </c>
      <c r="T348"/>
    </row>
    <row r="349" spans="1:20" ht="10.5" customHeight="1">
      <c r="A349" s="297" t="s">
        <v>2291</v>
      </c>
      <c r="B349" s="297" t="s">
        <v>1907</v>
      </c>
      <c r="C349" s="297" t="s">
        <v>1480</v>
      </c>
      <c r="D349" s="297" t="s">
        <v>4874</v>
      </c>
      <c r="E349" s="297" t="s">
        <v>1345</v>
      </c>
      <c r="F349" s="297" t="s">
        <v>3060</v>
      </c>
      <c r="G349" s="297"/>
      <c r="H349" s="297" t="s">
        <v>3390</v>
      </c>
      <c r="I349" s="297" t="s">
        <v>3391</v>
      </c>
      <c r="J349" s="45" t="str">
        <f t="shared" si="10"/>
        <v>TinEmpressa Nacional de Fundiciones (ENAF)</v>
      </c>
      <c r="K349" s="45" t="str">
        <f t="shared" si="11"/>
        <v>TinEmpressa Nacional de Fundiciones (ENAF)</v>
      </c>
      <c r="T349"/>
    </row>
    <row r="350" spans="1:20" ht="10.5" customHeight="1">
      <c r="A350" s="297" t="s">
        <v>2291</v>
      </c>
      <c r="B350" s="297" t="s">
        <v>55</v>
      </c>
      <c r="C350" s="297" t="s">
        <v>1480</v>
      </c>
      <c r="D350" s="297" t="s">
        <v>4874</v>
      </c>
      <c r="E350" s="297" t="s">
        <v>1345</v>
      </c>
      <c r="F350" s="297" t="s">
        <v>3060</v>
      </c>
      <c r="G350" s="297"/>
      <c r="H350" s="297" t="s">
        <v>3390</v>
      </c>
      <c r="I350" s="297" t="s">
        <v>3391</v>
      </c>
      <c r="J350" s="45" t="str">
        <f t="shared" si="10"/>
        <v>TinENAF</v>
      </c>
      <c r="K350" s="45" t="str">
        <f t="shared" si="11"/>
        <v>TinENAF</v>
      </c>
      <c r="T350"/>
    </row>
    <row r="351" spans="1:20" ht="10.5" customHeight="1">
      <c r="A351" s="297" t="s">
        <v>2291</v>
      </c>
      <c r="B351" s="297" t="s">
        <v>1346</v>
      </c>
      <c r="C351" s="297" t="s">
        <v>1346</v>
      </c>
      <c r="D351" s="297" t="s">
        <v>2139</v>
      </c>
      <c r="E351" s="297" t="s">
        <v>1347</v>
      </c>
      <c r="F351" s="297" t="s">
        <v>3060</v>
      </c>
      <c r="G351" s="297"/>
      <c r="H351" s="297" t="s">
        <v>3382</v>
      </c>
      <c r="I351" s="297" t="s">
        <v>3392</v>
      </c>
      <c r="J351" s="45" t="str">
        <f t="shared" si="10"/>
        <v>TinEstanho de Rondônia S.A.</v>
      </c>
      <c r="K351" s="45" t="str">
        <f t="shared" si="11"/>
        <v>TinEstanho de Rondônia S.A.</v>
      </c>
      <c r="T351"/>
    </row>
    <row r="352" spans="1:20" ht="10.5" customHeight="1">
      <c r="A352" s="297" t="s">
        <v>2291</v>
      </c>
      <c r="B352" s="297" t="s">
        <v>1436</v>
      </c>
      <c r="C352" s="297" t="s">
        <v>1436</v>
      </c>
      <c r="D352" s="297" t="s">
        <v>1682</v>
      </c>
      <c r="E352" s="297" t="s">
        <v>1348</v>
      </c>
      <c r="F352" s="297" t="s">
        <v>3060</v>
      </c>
      <c r="G352" s="297"/>
      <c r="H352" s="297" t="s">
        <v>3395</v>
      </c>
      <c r="I352" s="297" t="s">
        <v>3396</v>
      </c>
      <c r="J352" s="45" t="str">
        <f t="shared" si="10"/>
        <v>TinFenix Metals</v>
      </c>
      <c r="K352" s="45" t="str">
        <f t="shared" si="11"/>
        <v>TinFenix Metals</v>
      </c>
      <c r="T352"/>
    </row>
    <row r="353" spans="1:20" ht="10.5" customHeight="1">
      <c r="A353" s="297" t="s">
        <v>2291</v>
      </c>
      <c r="B353" s="297" t="s">
        <v>3413</v>
      </c>
      <c r="C353" s="297" t="s">
        <v>1925</v>
      </c>
      <c r="D353" s="297" t="s">
        <v>1678</v>
      </c>
      <c r="E353" s="297" t="s">
        <v>1356</v>
      </c>
      <c r="F353" s="297" t="s">
        <v>3060</v>
      </c>
      <c r="G353" s="297"/>
      <c r="H353" s="297" t="s">
        <v>3411</v>
      </c>
      <c r="I353" s="297" t="s">
        <v>3412</v>
      </c>
      <c r="J353" s="45" t="str">
        <f t="shared" si="10"/>
        <v>TinFunsur Smelter</v>
      </c>
      <c r="K353" s="45" t="str">
        <f t="shared" si="11"/>
        <v>TinFunsur Smelter</v>
      </c>
      <c r="T353"/>
    </row>
    <row r="354" spans="1:20" ht="10.5" customHeight="1">
      <c r="A354" s="297" t="s">
        <v>2291</v>
      </c>
      <c r="B354" s="297" t="s">
        <v>4986</v>
      </c>
      <c r="C354" s="297" t="s">
        <v>4069</v>
      </c>
      <c r="D354" s="297" t="s">
        <v>2150</v>
      </c>
      <c r="E354" s="297" t="s">
        <v>1382</v>
      </c>
      <c r="F354" s="297" t="s">
        <v>3060</v>
      </c>
      <c r="G354" s="297"/>
      <c r="H354" s="297" t="s">
        <v>4910</v>
      </c>
      <c r="I354" s="297" t="s">
        <v>3096</v>
      </c>
      <c r="J354" s="45" t="str">
        <f t="shared" si="10"/>
        <v>TinGejiu City Datun Chengfeng Smelter</v>
      </c>
      <c r="K354" s="45" t="str">
        <f t="shared" si="11"/>
        <v>TinGejiu City Datun Chengfeng Smelter</v>
      </c>
      <c r="T354"/>
    </row>
    <row r="355" spans="1:20" ht="10.5" customHeight="1">
      <c r="A355" s="297" t="s">
        <v>2291</v>
      </c>
      <c r="B355" s="297" t="s">
        <v>4609</v>
      </c>
      <c r="C355" s="297" t="s">
        <v>4609</v>
      </c>
      <c r="D355" s="297" t="s">
        <v>2150</v>
      </c>
      <c r="E355" s="297" t="s">
        <v>4242</v>
      </c>
      <c r="F355" s="297" t="s">
        <v>3060</v>
      </c>
      <c r="G355" s="297"/>
      <c r="H355" s="297" t="s">
        <v>4910</v>
      </c>
      <c r="I355" s="297" t="s">
        <v>3096</v>
      </c>
      <c r="J355" s="45" t="str">
        <f t="shared" si="10"/>
        <v>TinGejiu Fengming Metallurgy Chemical Plant</v>
      </c>
      <c r="K355" s="45" t="str">
        <f t="shared" si="11"/>
        <v>TinGejiu Fengming Metallurgy Chemical Plant</v>
      </c>
      <c r="T355"/>
    </row>
    <row r="356" spans="1:20" ht="10.5" customHeight="1">
      <c r="A356" s="297" t="s">
        <v>2291</v>
      </c>
      <c r="B356" s="297" t="s">
        <v>4610</v>
      </c>
      <c r="C356" s="297" t="s">
        <v>4610</v>
      </c>
      <c r="D356" s="297" t="s">
        <v>2150</v>
      </c>
      <c r="E356" s="297" t="s">
        <v>4611</v>
      </c>
      <c r="F356" s="297" t="s">
        <v>3060</v>
      </c>
      <c r="G356" s="297"/>
      <c r="H356" s="297" t="s">
        <v>4910</v>
      </c>
      <c r="I356" s="297" t="s">
        <v>3096</v>
      </c>
      <c r="J356" s="45" t="str">
        <f t="shared" si="10"/>
        <v>TinGejiu Jinye Mineral Company</v>
      </c>
      <c r="K356" s="45" t="str">
        <f t="shared" si="11"/>
        <v>TinGejiu Jinye Mineral Company</v>
      </c>
      <c r="T356"/>
    </row>
    <row r="357" spans="1:20" ht="10.5" customHeight="1">
      <c r="A357" s="297" t="s">
        <v>2291</v>
      </c>
      <c r="B357" s="297" t="s">
        <v>2705</v>
      </c>
      <c r="C357" s="297" t="s">
        <v>2705</v>
      </c>
      <c r="D357" s="297" t="s">
        <v>2150</v>
      </c>
      <c r="E357" s="297" t="s">
        <v>1352</v>
      </c>
      <c r="F357" s="297" t="s">
        <v>3060</v>
      </c>
      <c r="G357" s="297"/>
      <c r="H357" s="297" t="s">
        <v>4910</v>
      </c>
      <c r="I357" s="297" t="s">
        <v>3096</v>
      </c>
      <c r="J357" s="45" t="str">
        <f t="shared" si="10"/>
        <v>TinGejiu Kai Meng Industry and Trade LLC</v>
      </c>
      <c r="K357" s="45" t="str">
        <f t="shared" si="11"/>
        <v>TinGejiu Kai Meng Industry and Trade LLC</v>
      </c>
      <c r="T357"/>
    </row>
    <row r="358" spans="1:20" ht="10.5" customHeight="1">
      <c r="A358" s="297" t="s">
        <v>2291</v>
      </c>
      <c r="B358" s="297" t="s">
        <v>4042</v>
      </c>
      <c r="C358" s="297" t="s">
        <v>4042</v>
      </c>
      <c r="D358" s="297" t="s">
        <v>2150</v>
      </c>
      <c r="E358" s="297" t="s">
        <v>1349</v>
      </c>
      <c r="F358" s="297" t="s">
        <v>3060</v>
      </c>
      <c r="G358" s="297"/>
      <c r="H358" s="297" t="s">
        <v>4910</v>
      </c>
      <c r="I358" s="297" t="s">
        <v>3096</v>
      </c>
      <c r="J358" s="45" t="str">
        <f t="shared" si="10"/>
        <v>TinGejiu Non-Ferrous Metal Processing Co., Ltd.</v>
      </c>
      <c r="K358" s="45" t="str">
        <f t="shared" si="11"/>
        <v>TinGejiu Non-Ferrous Metal Processing Co., Ltd.</v>
      </c>
      <c r="T358"/>
    </row>
    <row r="359" spans="1:20" ht="10.5" customHeight="1">
      <c r="A359" s="297" t="s">
        <v>2291</v>
      </c>
      <c r="B359" s="297" t="s">
        <v>3435</v>
      </c>
      <c r="C359" s="297" t="s">
        <v>3435</v>
      </c>
      <c r="D359" s="297" t="s">
        <v>2150</v>
      </c>
      <c r="E359" s="297" t="s">
        <v>3436</v>
      </c>
      <c r="F359" s="297" t="s">
        <v>3060</v>
      </c>
      <c r="G359" s="297"/>
      <c r="H359" s="297" t="s">
        <v>4910</v>
      </c>
      <c r="I359" s="297" t="s">
        <v>3096</v>
      </c>
      <c r="J359" s="45" t="str">
        <f t="shared" si="10"/>
        <v>TinGejiu Yunxin Nonferrous Electrolysis Co., Ltd.</v>
      </c>
      <c r="K359" s="45" t="str">
        <f t="shared" si="11"/>
        <v>TinGejiu Yunxin Nonferrous Electrolysis Co., Ltd.</v>
      </c>
      <c r="T359"/>
    </row>
    <row r="360" spans="1:20" ht="10.5" customHeight="1">
      <c r="A360" s="297" t="s">
        <v>2291</v>
      </c>
      <c r="B360" s="297" t="s">
        <v>1481</v>
      </c>
      <c r="C360" s="297" t="s">
        <v>3397</v>
      </c>
      <c r="D360" s="297" t="s">
        <v>2150</v>
      </c>
      <c r="E360" s="297" t="s">
        <v>1350</v>
      </c>
      <c r="F360" s="297" t="s">
        <v>3060</v>
      </c>
      <c r="G360" s="297"/>
      <c r="H360" s="297" t="s">
        <v>4910</v>
      </c>
      <c r="I360" s="297" t="s">
        <v>3096</v>
      </c>
      <c r="J360" s="45" t="str">
        <f t="shared" si="10"/>
        <v>TinGejiu Zi-Li</v>
      </c>
      <c r="K360" s="45" t="str">
        <f t="shared" si="11"/>
        <v>TinGejiu Zi-Li</v>
      </c>
      <c r="T360"/>
    </row>
    <row r="361" spans="1:20" ht="10.5" customHeight="1">
      <c r="A361" s="297" t="s">
        <v>2291</v>
      </c>
      <c r="B361" s="297" t="s">
        <v>3397</v>
      </c>
      <c r="C361" s="297" t="s">
        <v>3397</v>
      </c>
      <c r="D361" s="297" t="s">
        <v>2150</v>
      </c>
      <c r="E361" s="297" t="s">
        <v>1350</v>
      </c>
      <c r="F361" s="297" t="s">
        <v>3060</v>
      </c>
      <c r="G361" s="297"/>
      <c r="H361" s="297" t="s">
        <v>4910</v>
      </c>
      <c r="I361" s="297" t="s">
        <v>3096</v>
      </c>
      <c r="J361" s="45" t="str">
        <f t="shared" si="10"/>
        <v>TinGejiu Zili Mining And Metallurgy Co., Ltd.</v>
      </c>
      <c r="K361" s="45" t="str">
        <f t="shared" si="11"/>
        <v>TinGejiu Zili Mining And Metallurgy Co., Ltd.</v>
      </c>
      <c r="T361"/>
    </row>
    <row r="362" spans="1:20" ht="10.5" customHeight="1">
      <c r="A362" s="297" t="s">
        <v>2291</v>
      </c>
      <c r="B362" s="297" t="s">
        <v>3401</v>
      </c>
      <c r="C362" s="297" t="s">
        <v>2543</v>
      </c>
      <c r="D362" s="297" t="s">
        <v>2150</v>
      </c>
      <c r="E362" s="297" t="s">
        <v>1353</v>
      </c>
      <c r="F362" s="297" t="s">
        <v>3060</v>
      </c>
      <c r="G362" s="297"/>
      <c r="H362" s="297" t="s">
        <v>3400</v>
      </c>
      <c r="I362" s="297" t="s">
        <v>3373</v>
      </c>
      <c r="J362" s="45" t="str">
        <f t="shared" si="10"/>
        <v>TinGuang Xi Liu Xhou</v>
      </c>
      <c r="K362" s="45" t="str">
        <f t="shared" si="11"/>
        <v>TinGuang Xi Liu Xhou</v>
      </c>
      <c r="T362"/>
    </row>
    <row r="363" spans="1:20" ht="10.5" customHeight="1">
      <c r="A363" s="297" t="s">
        <v>2291</v>
      </c>
      <c r="B363" s="297" t="s">
        <v>4606</v>
      </c>
      <c r="C363" s="297" t="s">
        <v>2543</v>
      </c>
      <c r="D363" s="297" t="s">
        <v>2150</v>
      </c>
      <c r="E363" s="297" t="s">
        <v>1353</v>
      </c>
      <c r="F363" s="297" t="s">
        <v>3060</v>
      </c>
      <c r="G363" s="297"/>
      <c r="H363" s="297" t="s">
        <v>3400</v>
      </c>
      <c r="I363" s="297" t="s">
        <v>3373</v>
      </c>
      <c r="J363" s="45" t="str">
        <f t="shared" si="10"/>
        <v>TinGuang Xi Liu Zhou</v>
      </c>
      <c r="K363" s="45" t="str">
        <f t="shared" si="11"/>
        <v>TinGuang Xi Liu Zhou</v>
      </c>
      <c r="T363"/>
    </row>
    <row r="364" spans="1:20" ht="10.5" customHeight="1">
      <c r="A364" s="297" t="s">
        <v>2291</v>
      </c>
      <c r="B364" s="297" t="s">
        <v>56</v>
      </c>
      <c r="C364" s="297" t="s">
        <v>2543</v>
      </c>
      <c r="D364" s="297" t="s">
        <v>2150</v>
      </c>
      <c r="E364" s="297" t="s">
        <v>1353</v>
      </c>
      <c r="F364" s="297" t="s">
        <v>3060</v>
      </c>
      <c r="G364" s="297"/>
      <c r="H364" s="297" t="s">
        <v>3400</v>
      </c>
      <c r="I364" s="297" t="s">
        <v>3373</v>
      </c>
      <c r="J364" s="45" t="str">
        <f t="shared" si="10"/>
        <v>TinGuangXi China Tin</v>
      </c>
      <c r="K364" s="45" t="str">
        <f t="shared" si="11"/>
        <v>TinGuangXi China Tin</v>
      </c>
      <c r="T364"/>
    </row>
    <row r="365" spans="1:20" ht="10.5" customHeight="1">
      <c r="A365" s="297" t="s">
        <v>2291</v>
      </c>
      <c r="B365" s="297" t="s">
        <v>2340</v>
      </c>
      <c r="C365" s="297" t="s">
        <v>4039</v>
      </c>
      <c r="D365" s="297" t="s">
        <v>2150</v>
      </c>
      <c r="E365" s="297" t="s">
        <v>1340</v>
      </c>
      <c r="F365" s="297" t="s">
        <v>3060</v>
      </c>
      <c r="G365" s="297"/>
      <c r="H365" s="297" t="s">
        <v>3372</v>
      </c>
      <c r="I365" s="297" t="s">
        <v>3373</v>
      </c>
      <c r="J365" s="45" t="str">
        <f t="shared" si="10"/>
        <v>TinGuangxi Pinggui PGMA Co. Ltd.</v>
      </c>
      <c r="K365" s="45" t="str">
        <f t="shared" si="11"/>
        <v>TinGuangxi Pinggui PGMA Co. Ltd.</v>
      </c>
      <c r="T365"/>
    </row>
    <row r="366" spans="1:20" ht="10.5" customHeight="1">
      <c r="A366" s="297" t="s">
        <v>2291</v>
      </c>
      <c r="B366" s="297" t="s">
        <v>4243</v>
      </c>
      <c r="C366" s="297" t="s">
        <v>4243</v>
      </c>
      <c r="D366" s="297" t="s">
        <v>2150</v>
      </c>
      <c r="E366" s="297" t="s">
        <v>4244</v>
      </c>
      <c r="F366" s="297" t="s">
        <v>3060</v>
      </c>
      <c r="G366" s="297"/>
      <c r="H366" s="297" t="s">
        <v>4245</v>
      </c>
      <c r="I366" s="297" t="s">
        <v>3373</v>
      </c>
      <c r="J366" s="45" t="str">
        <f t="shared" si="10"/>
        <v>TinGuanyang Guida Nonferrous Metal Smelting Plant</v>
      </c>
      <c r="K366" s="45" t="str">
        <f t="shared" si="11"/>
        <v>TinGuanyang Guida Nonferrous Metal Smelting Plant</v>
      </c>
      <c r="T366"/>
    </row>
    <row r="367" spans="1:20" ht="10.5" customHeight="1">
      <c r="A367" s="297" t="s">
        <v>2291</v>
      </c>
      <c r="B367" s="297" t="s">
        <v>4273</v>
      </c>
      <c r="C367" s="297" t="s">
        <v>4273</v>
      </c>
      <c r="D367" s="297" t="s">
        <v>2150</v>
      </c>
      <c r="E367" s="297" t="s">
        <v>4274</v>
      </c>
      <c r="F367" s="297" t="s">
        <v>3060</v>
      </c>
      <c r="G367" s="297"/>
      <c r="H367" s="297" t="s">
        <v>3398</v>
      </c>
      <c r="I367" s="297" t="s">
        <v>3139</v>
      </c>
      <c r="J367" s="45" t="str">
        <f t="shared" si="10"/>
        <v>TinHuiChang Hill Tin Industry Co., Ltd.</v>
      </c>
      <c r="K367" s="45" t="str">
        <f t="shared" si="11"/>
        <v>TinHuiChang Hill Tin Industry Co., Ltd.</v>
      </c>
      <c r="T367"/>
    </row>
    <row r="368" spans="1:20" ht="10.5" customHeight="1">
      <c r="A368" s="297" t="s">
        <v>2291</v>
      </c>
      <c r="B368" s="297" t="s">
        <v>4043</v>
      </c>
      <c r="C368" s="297" t="s">
        <v>4043</v>
      </c>
      <c r="D368" s="297" t="s">
        <v>2150</v>
      </c>
      <c r="E368" s="297" t="s">
        <v>1351</v>
      </c>
      <c r="F368" s="297" t="s">
        <v>3060</v>
      </c>
      <c r="G368" s="297"/>
      <c r="H368" s="297" t="s">
        <v>3398</v>
      </c>
      <c r="I368" s="297" t="s">
        <v>3139</v>
      </c>
      <c r="J368" s="45" t="str">
        <f t="shared" si="10"/>
        <v>TinHuichang Jinshunda Tin Co., Ltd.</v>
      </c>
      <c r="K368" s="45" t="str">
        <f t="shared" si="11"/>
        <v>TinHuichang Jinshunda Tin Co., Ltd.</v>
      </c>
      <c r="T368"/>
    </row>
    <row r="369" spans="1:20" ht="10.5" customHeight="1">
      <c r="A369" s="297" t="s">
        <v>2291</v>
      </c>
      <c r="B369" s="297" t="s">
        <v>57</v>
      </c>
      <c r="C369" s="297" t="s">
        <v>4043</v>
      </c>
      <c r="D369" s="297" t="s">
        <v>2150</v>
      </c>
      <c r="E369" s="297" t="s">
        <v>1351</v>
      </c>
      <c r="F369" s="297" t="s">
        <v>3060</v>
      </c>
      <c r="G369" s="297"/>
      <c r="H369" s="297" t="s">
        <v>3398</v>
      </c>
      <c r="I369" s="297" t="s">
        <v>3139</v>
      </c>
      <c r="J369" s="45" t="str">
        <f t="shared" si="10"/>
        <v>TinHuichang Shun Tin Kam Industries, Ltd.</v>
      </c>
      <c r="K369" s="45" t="str">
        <f t="shared" si="11"/>
        <v>TinHuichang Shun Tin Kam Industries, Ltd.</v>
      </c>
      <c r="T369"/>
    </row>
    <row r="370" spans="1:20" ht="10.5" customHeight="1">
      <c r="A370" s="297" t="s">
        <v>2291</v>
      </c>
      <c r="B370" s="297" t="s">
        <v>4620</v>
      </c>
      <c r="C370" s="297" t="s">
        <v>4151</v>
      </c>
      <c r="D370" s="297" t="s">
        <v>2206</v>
      </c>
      <c r="E370" s="297" t="s">
        <v>1375</v>
      </c>
      <c r="F370" s="297" t="s">
        <v>3060</v>
      </c>
      <c r="G370" s="297"/>
      <c r="H370" s="297" t="s">
        <v>3429</v>
      </c>
      <c r="I370" s="297" t="s">
        <v>3385</v>
      </c>
      <c r="J370" s="45" t="str">
        <f t="shared" si="10"/>
        <v>TinINDONESIAN STATE TIN CORPORATION MENTOK SMELTER</v>
      </c>
      <c r="K370" s="45" t="str">
        <f t="shared" si="11"/>
        <v>TinINDONESIAN STATE TIN CORPORATION MENTOK SMELTER</v>
      </c>
      <c r="T370"/>
    </row>
    <row r="371" spans="1:20" ht="10.5" customHeight="1">
      <c r="A371" s="297" t="s">
        <v>2291</v>
      </c>
      <c r="B371" s="297" t="s">
        <v>1150</v>
      </c>
      <c r="C371" s="297" t="s">
        <v>1172</v>
      </c>
      <c r="D371" s="297" t="s">
        <v>2206</v>
      </c>
      <c r="E371" s="297" t="s">
        <v>1365</v>
      </c>
      <c r="F371" s="297" t="s">
        <v>3060</v>
      </c>
      <c r="G371" s="297"/>
      <c r="H371" s="297" t="s">
        <v>3388</v>
      </c>
      <c r="I371" s="297" t="s">
        <v>3385</v>
      </c>
      <c r="J371" s="45" t="str">
        <f t="shared" si="10"/>
        <v>TinIndra Eramulti Logam</v>
      </c>
      <c r="K371" s="45" t="str">
        <f t="shared" si="11"/>
        <v>TinIndra Eramulti Logam</v>
      </c>
      <c r="T371"/>
    </row>
    <row r="372" spans="1:20" ht="10.5" customHeight="1">
      <c r="A372" s="297" t="s">
        <v>2291</v>
      </c>
      <c r="B372" s="297" t="s">
        <v>3371</v>
      </c>
      <c r="C372" s="297" t="s">
        <v>3371</v>
      </c>
      <c r="D372" s="297" t="s">
        <v>2150</v>
      </c>
      <c r="E372" s="297" t="s">
        <v>1339</v>
      </c>
      <c r="F372" s="297" t="s">
        <v>3060</v>
      </c>
      <c r="G372" s="297"/>
      <c r="H372" s="297" t="s">
        <v>3337</v>
      </c>
      <c r="I372" s="297" t="s">
        <v>3139</v>
      </c>
      <c r="J372" s="45" t="str">
        <f t="shared" si="10"/>
        <v>TinJiangxi Ketai Advanced Material Co., Ltd.</v>
      </c>
      <c r="K372" s="45" t="str">
        <f t="shared" si="11"/>
        <v>TinJiangxi Ketai Advanced Material Co., Ltd.</v>
      </c>
      <c r="T372"/>
    </row>
    <row r="373" spans="1:20" ht="10.5" customHeight="1">
      <c r="A373" s="297" t="s">
        <v>2291</v>
      </c>
      <c r="B373" s="297" t="s">
        <v>4194</v>
      </c>
      <c r="C373" s="297" t="s">
        <v>4053</v>
      </c>
      <c r="D373" s="297" t="s">
        <v>2150</v>
      </c>
      <c r="E373" s="297" t="s">
        <v>3415</v>
      </c>
      <c r="F373" s="297" t="s">
        <v>3060</v>
      </c>
      <c r="G373" s="297"/>
      <c r="H373" s="297" t="s">
        <v>3398</v>
      </c>
      <c r="I373" s="297" t="s">
        <v>3139</v>
      </c>
      <c r="J373" s="45" t="str">
        <f t="shared" si="10"/>
        <v>TinJiangxi Nanshan</v>
      </c>
      <c r="K373" s="45" t="str">
        <f t="shared" si="11"/>
        <v>TinJiangxi Nanshan</v>
      </c>
      <c r="T373"/>
    </row>
    <row r="374" spans="1:20" ht="10.5" customHeight="1">
      <c r="A374" s="297" t="s">
        <v>2291</v>
      </c>
      <c r="B374" s="297" t="s">
        <v>4172</v>
      </c>
      <c r="C374" s="297" t="s">
        <v>4043</v>
      </c>
      <c r="D374" s="297" t="s">
        <v>2150</v>
      </c>
      <c r="E374" s="297" t="s">
        <v>1351</v>
      </c>
      <c r="F374" s="297" t="s">
        <v>3060</v>
      </c>
      <c r="G374" s="297"/>
      <c r="H374" s="297" t="s">
        <v>3398</v>
      </c>
      <c r="I374" s="297" t="s">
        <v>3139</v>
      </c>
      <c r="J374" s="45" t="str">
        <f t="shared" si="10"/>
        <v>TinJiangxi Shunda Huichang Kam Tin Co., Ltd.</v>
      </c>
      <c r="K374" s="45" t="str">
        <f t="shared" si="11"/>
        <v>TinJiangxi Shunda Huichang Kam Tin Co., Ltd.</v>
      </c>
      <c r="T374"/>
    </row>
    <row r="375" spans="1:20" ht="10.5" customHeight="1">
      <c r="A375" s="297" t="s">
        <v>2291</v>
      </c>
      <c r="B375" s="297" t="s">
        <v>4195</v>
      </c>
      <c r="C375" s="297" t="s">
        <v>2705</v>
      </c>
      <c r="D375" s="297" t="s">
        <v>2150</v>
      </c>
      <c r="E375" s="297" t="s">
        <v>1352</v>
      </c>
      <c r="F375" s="297" t="s">
        <v>3060</v>
      </c>
      <c r="G375" s="297"/>
      <c r="H375" s="297" t="s">
        <v>4910</v>
      </c>
      <c r="I375" s="297" t="s">
        <v>3096</v>
      </c>
      <c r="J375" s="45" t="str">
        <f t="shared" si="10"/>
        <v>TinKai Union Industry and Trade Co., Ltd. (China)</v>
      </c>
      <c r="K375" s="45" t="str">
        <f t="shared" si="11"/>
        <v>TinKai Union Industry and Trade Co., Ltd. (China)</v>
      </c>
      <c r="T375"/>
    </row>
    <row r="376" spans="1:20" ht="10.5" customHeight="1">
      <c r="A376" s="297" t="s">
        <v>2291</v>
      </c>
      <c r="B376" s="297" t="s">
        <v>965</v>
      </c>
      <c r="C376" s="297" t="s">
        <v>2705</v>
      </c>
      <c r="D376" s="297" t="s">
        <v>2150</v>
      </c>
      <c r="E376" s="297" t="s">
        <v>1352</v>
      </c>
      <c r="F376" s="297" t="s">
        <v>3060</v>
      </c>
      <c r="G376" s="297"/>
      <c r="H376" s="297" t="s">
        <v>4910</v>
      </c>
      <c r="I376" s="297" t="s">
        <v>3096</v>
      </c>
      <c r="J376" s="45" t="str">
        <f t="shared" si="10"/>
        <v>TinKai Unita Trade Limited Liability Company</v>
      </c>
      <c r="K376" s="45" t="str">
        <f t="shared" si="11"/>
        <v>TinKai Unita Trade Limited Liability Company</v>
      </c>
      <c r="T376"/>
    </row>
    <row r="377" spans="1:20" ht="10.5" customHeight="1">
      <c r="A377" s="297" t="s">
        <v>2291</v>
      </c>
      <c r="B377" s="297" t="s">
        <v>3428</v>
      </c>
      <c r="C377" s="297" t="s">
        <v>3425</v>
      </c>
      <c r="D377" s="297" t="s">
        <v>2206</v>
      </c>
      <c r="E377" s="297" t="s">
        <v>1399</v>
      </c>
      <c r="F377" s="297" t="s">
        <v>3060</v>
      </c>
      <c r="G377" s="297"/>
      <c r="H377" s="297" t="s">
        <v>3426</v>
      </c>
      <c r="I377" s="297" t="s">
        <v>3427</v>
      </c>
      <c r="J377" s="45" t="str">
        <f t="shared" si="10"/>
        <v>TinKundur Smelter</v>
      </c>
      <c r="K377" s="45" t="str">
        <f t="shared" si="11"/>
        <v>TinKundur Smelter</v>
      </c>
      <c r="T377"/>
    </row>
    <row r="378" spans="1:20" ht="10.5" customHeight="1">
      <c r="A378" s="297" t="s">
        <v>2291</v>
      </c>
      <c r="B378" s="297" t="s">
        <v>3402</v>
      </c>
      <c r="C378" s="297" t="s">
        <v>2543</v>
      </c>
      <c r="D378" s="297" t="s">
        <v>2150</v>
      </c>
      <c r="E378" s="297" t="s">
        <v>1353</v>
      </c>
      <c r="F378" s="297" t="s">
        <v>3060</v>
      </c>
      <c r="G378" s="297"/>
      <c r="H378" s="297" t="s">
        <v>3400</v>
      </c>
      <c r="I378" s="297" t="s">
        <v>3373</v>
      </c>
      <c r="J378" s="45" t="str">
        <f t="shared" si="10"/>
        <v>TinLiuzhhou China Tin</v>
      </c>
      <c r="K378" s="45" t="str">
        <f t="shared" si="11"/>
        <v>TinLiuzhhou China Tin</v>
      </c>
      <c r="T378"/>
    </row>
    <row r="379" spans="1:20" ht="10.5" customHeight="1">
      <c r="A379" s="297" t="s">
        <v>2291</v>
      </c>
      <c r="B379" s="297" t="s">
        <v>4071</v>
      </c>
      <c r="C379" s="297" t="s">
        <v>4071</v>
      </c>
      <c r="D379" s="297" t="s">
        <v>2139</v>
      </c>
      <c r="E379" s="297" t="s">
        <v>197</v>
      </c>
      <c r="F379" s="297" t="s">
        <v>3060</v>
      </c>
      <c r="G379" s="297"/>
      <c r="H379" s="297" t="s">
        <v>3312</v>
      </c>
      <c r="I379" s="297" t="s">
        <v>3071</v>
      </c>
      <c r="J379" s="45" t="str">
        <f t="shared" si="10"/>
        <v>TinMagnu's Minerais Metais e Ligas Ltda.</v>
      </c>
      <c r="K379" s="45" t="str">
        <f t="shared" si="11"/>
        <v>TinMagnu's Minerais Metais e Ligas Ltda.</v>
      </c>
      <c r="T379"/>
    </row>
    <row r="380" spans="1:20" ht="10.5" customHeight="1">
      <c r="A380" s="297" t="s">
        <v>2291</v>
      </c>
      <c r="B380" s="297" t="s">
        <v>1445</v>
      </c>
      <c r="C380" s="297" t="s">
        <v>1445</v>
      </c>
      <c r="D380" s="297" t="s">
        <v>2256</v>
      </c>
      <c r="E380" s="297" t="s">
        <v>1354</v>
      </c>
      <c r="F380" s="297" t="s">
        <v>3060</v>
      </c>
      <c r="G380" s="297"/>
      <c r="H380" s="297" t="s">
        <v>3405</v>
      </c>
      <c r="I380" s="297" t="s">
        <v>3406</v>
      </c>
      <c r="J380" s="45" t="str">
        <f t="shared" si="10"/>
        <v>TinMalaysia Smelting Corporation (MSC)</v>
      </c>
      <c r="K380" s="45" t="str">
        <f t="shared" si="11"/>
        <v>TinMalaysia Smelting Corporation (MSC)</v>
      </c>
      <c r="T380"/>
    </row>
    <row r="381" spans="1:20" ht="10.5" customHeight="1">
      <c r="A381" s="297" t="s">
        <v>2291</v>
      </c>
      <c r="B381" s="297" t="s">
        <v>4615</v>
      </c>
      <c r="C381" s="297" t="s">
        <v>4615</v>
      </c>
      <c r="D381" s="297" t="s">
        <v>2139</v>
      </c>
      <c r="E381" s="297" t="s">
        <v>2541</v>
      </c>
      <c r="F381" s="297" t="s">
        <v>3060</v>
      </c>
      <c r="G381" s="297"/>
      <c r="H381" s="297" t="s">
        <v>3382</v>
      </c>
      <c r="I381" s="297" t="s">
        <v>3383</v>
      </c>
      <c r="J381" s="45" t="str">
        <f t="shared" si="10"/>
        <v>TinMelt Metais e Ligas S.A.</v>
      </c>
      <c r="K381" s="45" t="str">
        <f t="shared" si="11"/>
        <v>TinMelt Metais e Ligas S.A.</v>
      </c>
      <c r="T381"/>
    </row>
    <row r="382" spans="1:20" ht="10.5" customHeight="1">
      <c r="A382" s="297" t="s">
        <v>2291</v>
      </c>
      <c r="B382" s="297" t="s">
        <v>4196</v>
      </c>
      <c r="C382" s="297" t="s">
        <v>4151</v>
      </c>
      <c r="D382" s="297" t="s">
        <v>2206</v>
      </c>
      <c r="E382" s="297" t="s">
        <v>1375</v>
      </c>
      <c r="F382" s="297" t="s">
        <v>3060</v>
      </c>
      <c r="G382" s="297"/>
      <c r="H382" s="297" t="s">
        <v>3429</v>
      </c>
      <c r="I382" s="297" t="s">
        <v>3385</v>
      </c>
      <c r="J382" s="45" t="str">
        <f t="shared" si="10"/>
        <v>TinMentok Smelter</v>
      </c>
      <c r="K382" s="45" t="str">
        <f t="shared" si="11"/>
        <v>TinMentok Smelter</v>
      </c>
      <c r="T382"/>
    </row>
    <row r="383" spans="1:20" ht="10.5" customHeight="1">
      <c r="A383" s="297" t="s">
        <v>2291</v>
      </c>
      <c r="B383" s="297" t="s">
        <v>3403</v>
      </c>
      <c r="C383" s="297" t="s">
        <v>2543</v>
      </c>
      <c r="D383" s="297" t="s">
        <v>2150</v>
      </c>
      <c r="E383" s="297" t="s">
        <v>1353</v>
      </c>
      <c r="F383" s="297" t="s">
        <v>3060</v>
      </c>
      <c r="G383" s="297"/>
      <c r="H383" s="297" t="s">
        <v>3400</v>
      </c>
      <c r="I383" s="297" t="s">
        <v>3373</v>
      </c>
      <c r="J383" s="45" t="str">
        <f t="shared" si="10"/>
        <v>TinMetallic Materials Branch of Guangxi China Tin Group Co.,Ltd.</v>
      </c>
      <c r="K383" s="45" t="str">
        <f t="shared" si="11"/>
        <v>TinMetallic Materials Branch of Guangxi China Tin Group Co.,Ltd.</v>
      </c>
      <c r="T383"/>
    </row>
    <row r="384" spans="1:20" ht="10.5" customHeight="1">
      <c r="A384" s="297" t="s">
        <v>2291</v>
      </c>
      <c r="B384" s="297" t="s">
        <v>4049</v>
      </c>
      <c r="C384" s="297" t="s">
        <v>4049</v>
      </c>
      <c r="D384" s="297" t="s">
        <v>4880</v>
      </c>
      <c r="E384" s="297" t="s">
        <v>3407</v>
      </c>
      <c r="F384" s="297" t="s">
        <v>3060</v>
      </c>
      <c r="G384" s="297"/>
      <c r="H384" s="297" t="s">
        <v>3408</v>
      </c>
      <c r="I384" s="297" t="s">
        <v>3191</v>
      </c>
      <c r="J384" s="45" t="str">
        <f t="shared" si="10"/>
        <v>TinMetallic Resources, Inc.</v>
      </c>
      <c r="K384" s="45" t="str">
        <f t="shared" si="11"/>
        <v>TinMetallic Resources, Inc.</v>
      </c>
      <c r="T384"/>
    </row>
    <row r="385" spans="1:20" ht="10.5" customHeight="1">
      <c r="A385" s="297" t="s">
        <v>2291</v>
      </c>
      <c r="B385" s="297" t="s">
        <v>3468</v>
      </c>
      <c r="C385" s="297" t="s">
        <v>3468</v>
      </c>
      <c r="D385" s="297" t="s">
        <v>2128</v>
      </c>
      <c r="E385" s="297" t="s">
        <v>3469</v>
      </c>
      <c r="F385" s="297" t="s">
        <v>3060</v>
      </c>
      <c r="G385" s="297"/>
      <c r="H385" s="297" t="s">
        <v>3470</v>
      </c>
      <c r="I385" s="297" t="s">
        <v>3250</v>
      </c>
      <c r="J385" s="45" t="str">
        <f t="shared" si="10"/>
        <v>TinMetallo-Chimique N.V.</v>
      </c>
      <c r="K385" s="45" t="str">
        <f t="shared" si="11"/>
        <v>TinMetallo-Chimique N.V.</v>
      </c>
      <c r="T385"/>
    </row>
    <row r="386" spans="1:20" ht="10.5" customHeight="1">
      <c r="A386" s="297" t="s">
        <v>2291</v>
      </c>
      <c r="B386" s="297" t="s">
        <v>1924</v>
      </c>
      <c r="C386" s="297" t="s">
        <v>1924</v>
      </c>
      <c r="D386" s="297" t="s">
        <v>2139</v>
      </c>
      <c r="E386" s="297" t="s">
        <v>1355</v>
      </c>
      <c r="F386" s="297" t="s">
        <v>3060</v>
      </c>
      <c r="G386" s="297"/>
      <c r="H386" s="297" t="s">
        <v>3409</v>
      </c>
      <c r="I386" s="297" t="s">
        <v>3248</v>
      </c>
      <c r="J386" s="45" t="str">
        <f t="shared" si="10"/>
        <v>TinMineração Taboca S.A.</v>
      </c>
      <c r="K386" s="45" t="str">
        <f t="shared" si="11"/>
        <v>TinMineração Taboca S.A.</v>
      </c>
      <c r="T386"/>
    </row>
    <row r="387" spans="1:20" ht="10.5" customHeight="1">
      <c r="A387" s="297" t="s">
        <v>2291</v>
      </c>
      <c r="B387" s="297" t="s">
        <v>1925</v>
      </c>
      <c r="C387" s="297" t="s">
        <v>1925</v>
      </c>
      <c r="D387" s="297" t="s">
        <v>1678</v>
      </c>
      <c r="E387" s="297" t="s">
        <v>1356</v>
      </c>
      <c r="F387" s="297" t="s">
        <v>3060</v>
      </c>
      <c r="G387" s="297"/>
      <c r="H387" s="297" t="s">
        <v>3411</v>
      </c>
      <c r="I387" s="297" t="s">
        <v>3412</v>
      </c>
      <c r="J387" s="45" t="str">
        <f t="shared" si="10"/>
        <v>TinMinsur</v>
      </c>
      <c r="K387" s="45" t="str">
        <f t="shared" si="11"/>
        <v>TinMinsur</v>
      </c>
      <c r="T387"/>
    </row>
    <row r="388" spans="1:20" ht="10.5" customHeight="1">
      <c r="A388" s="297" t="s">
        <v>2291</v>
      </c>
      <c r="B388" s="297" t="s">
        <v>2338</v>
      </c>
      <c r="C388" s="297" t="s">
        <v>2338</v>
      </c>
      <c r="D388" s="297" t="s">
        <v>2217</v>
      </c>
      <c r="E388" s="297" t="s">
        <v>1357</v>
      </c>
      <c r="F388" s="297" t="s">
        <v>3060</v>
      </c>
      <c r="G388" s="297"/>
      <c r="H388" s="297" t="s">
        <v>3414</v>
      </c>
      <c r="I388" s="297" t="s">
        <v>3075</v>
      </c>
      <c r="J388" s="45" t="str">
        <f t="shared" si="10"/>
        <v>TinMitsubishi Materials Corporation</v>
      </c>
      <c r="K388" s="45" t="str">
        <f t="shared" si="11"/>
        <v>TinMitsubishi Materials Corporation</v>
      </c>
      <c r="T388"/>
    </row>
    <row r="389" spans="1:20" ht="10.5" customHeight="1">
      <c r="A389" s="297" t="s">
        <v>2291</v>
      </c>
      <c r="B389" s="297" t="s">
        <v>4575</v>
      </c>
      <c r="C389" s="297" t="s">
        <v>4575</v>
      </c>
      <c r="D389" s="297" t="s">
        <v>2256</v>
      </c>
      <c r="E389" s="297" t="s">
        <v>4625</v>
      </c>
      <c r="F389" s="297" t="s">
        <v>3060</v>
      </c>
      <c r="G389" s="297"/>
      <c r="H389" s="297" t="s">
        <v>4629</v>
      </c>
      <c r="I389" s="297" t="s">
        <v>4630</v>
      </c>
      <c r="J389" s="45" t="str">
        <f t="shared" si="10"/>
        <v>TinModeltech Sdn Bhd</v>
      </c>
      <c r="K389" s="45" t="str">
        <f t="shared" si="11"/>
        <v>TinModeltech Sdn Bhd</v>
      </c>
      <c r="T389"/>
    </row>
    <row r="390" spans="1:20" ht="10.5" customHeight="1">
      <c r="A390" s="297" t="s">
        <v>2291</v>
      </c>
      <c r="B390" s="297" t="s">
        <v>4197</v>
      </c>
      <c r="C390" s="297" t="s">
        <v>1445</v>
      </c>
      <c r="D390" s="297" t="s">
        <v>2256</v>
      </c>
      <c r="E390" s="297" t="s">
        <v>1354</v>
      </c>
      <c r="F390" s="297" t="s">
        <v>3060</v>
      </c>
      <c r="G390" s="297"/>
      <c r="H390" s="297" t="s">
        <v>3405</v>
      </c>
      <c r="I390" s="297" t="s">
        <v>3406</v>
      </c>
      <c r="J390" s="45" t="str">
        <f t="shared" si="10"/>
        <v>TinMSC</v>
      </c>
      <c r="K390" s="45" t="str">
        <f t="shared" si="11"/>
        <v>TinMSC</v>
      </c>
      <c r="T390"/>
    </row>
    <row r="391" spans="1:20" ht="10.5" customHeight="1">
      <c r="A391" s="297" t="s">
        <v>2291</v>
      </c>
      <c r="B391" s="297" t="s">
        <v>4053</v>
      </c>
      <c r="C391" s="297" t="s">
        <v>4053</v>
      </c>
      <c r="D391" s="297" t="s">
        <v>2150</v>
      </c>
      <c r="E391" s="297" t="s">
        <v>3415</v>
      </c>
      <c r="F391" s="297" t="s">
        <v>3060</v>
      </c>
      <c r="G391" s="297"/>
      <c r="H391" s="297" t="s">
        <v>3398</v>
      </c>
      <c r="I391" s="297" t="s">
        <v>3139</v>
      </c>
      <c r="J391" s="45" t="str">
        <f t="shared" si="10"/>
        <v>TinNankang Nanshan Tin Manufactory Co., Ltd.</v>
      </c>
      <c r="K391" s="45" t="str">
        <f t="shared" si="11"/>
        <v>TinNankang Nanshan Tin Manufactory Co., Ltd.</v>
      </c>
      <c r="T391"/>
    </row>
    <row r="392" spans="1:20" ht="10.5" customHeight="1">
      <c r="A392" s="297" t="s">
        <v>2291</v>
      </c>
      <c r="B392" s="297" t="s">
        <v>3416</v>
      </c>
      <c r="C392" s="297" t="s">
        <v>4053</v>
      </c>
      <c r="D392" s="297" t="s">
        <v>2150</v>
      </c>
      <c r="E392" s="297" t="s">
        <v>3415</v>
      </c>
      <c r="F392" s="297" t="s">
        <v>3060</v>
      </c>
      <c r="G392" s="297"/>
      <c r="H392" s="297" t="s">
        <v>3398</v>
      </c>
      <c r="I392" s="297" t="s">
        <v>3139</v>
      </c>
      <c r="J392" s="45" t="str">
        <f t="shared" si="10"/>
        <v>TinNanshan Tin Co. Ltd.</v>
      </c>
      <c r="K392" s="45" t="str">
        <f t="shared" si="11"/>
        <v>TinNanshan Tin Co. Ltd.</v>
      </c>
      <c r="T392"/>
    </row>
    <row r="393" spans="1:20" ht="10.5" customHeight="1">
      <c r="A393" s="297" t="s">
        <v>2291</v>
      </c>
      <c r="B393" s="297" t="s">
        <v>3457</v>
      </c>
      <c r="C393" s="297" t="s">
        <v>3457</v>
      </c>
      <c r="D393" s="297" t="s">
        <v>1737</v>
      </c>
      <c r="E393" s="297" t="s">
        <v>3458</v>
      </c>
      <c r="F393" s="297" t="s">
        <v>3060</v>
      </c>
      <c r="G393" s="297"/>
      <c r="H393" s="297" t="s">
        <v>3459</v>
      </c>
      <c r="I393" s="297" t="s">
        <v>3460</v>
      </c>
      <c r="J393" s="45" t="str">
        <f t="shared" si="10"/>
        <v>TinNghe Tinh Non-Ferrous Metals Joint Stock Company</v>
      </c>
      <c r="K393" s="45" t="str">
        <f t="shared" si="11"/>
        <v>TinNghe Tinh Non-Ferrous Metals Joint Stock Company</v>
      </c>
      <c r="T393"/>
    </row>
    <row r="394" spans="1:20" ht="10.5" customHeight="1">
      <c r="A394" s="297" t="s">
        <v>2291</v>
      </c>
      <c r="B394" s="297" t="s">
        <v>1358</v>
      </c>
      <c r="C394" s="297" t="s">
        <v>1358</v>
      </c>
      <c r="D394" s="297" t="s">
        <v>1716</v>
      </c>
      <c r="E394" s="297" t="s">
        <v>1359</v>
      </c>
      <c r="F394" s="297" t="s">
        <v>3060</v>
      </c>
      <c r="G394" s="297"/>
      <c r="H394" s="297" t="s">
        <v>4616</v>
      </c>
      <c r="I394" s="297" t="s">
        <v>3417</v>
      </c>
      <c r="J394" s="45" t="str">
        <f t="shared" ref="J394:J457" si="12">A394&amp;B394</f>
        <v>TinO.M. Manufacturing (Thailand) Co., Ltd.</v>
      </c>
      <c r="K394" s="45" t="str">
        <f t="shared" ref="K394:K457" si="13">A394&amp;B394</f>
        <v>TinO.M. Manufacturing (Thailand) Co., Ltd.</v>
      </c>
      <c r="T394"/>
    </row>
    <row r="395" spans="1:20" ht="10.5" customHeight="1">
      <c r="A395" s="297" t="s">
        <v>2291</v>
      </c>
      <c r="B395" s="297" t="s">
        <v>2658</v>
      </c>
      <c r="C395" s="297" t="s">
        <v>2658</v>
      </c>
      <c r="D395" s="297" t="s">
        <v>1679</v>
      </c>
      <c r="E395" s="297" t="s">
        <v>2659</v>
      </c>
      <c r="F395" s="297" t="s">
        <v>3060</v>
      </c>
      <c r="G395" s="297"/>
      <c r="H395" s="297" t="s">
        <v>3449</v>
      </c>
      <c r="I395" s="297" t="s">
        <v>3450</v>
      </c>
      <c r="J395" s="45" t="str">
        <f t="shared" si="12"/>
        <v>TinO.M. Manufacturing Philippines, Inc.</v>
      </c>
      <c r="K395" s="45" t="str">
        <f t="shared" si="13"/>
        <v>TinO.M. Manufacturing Philippines, Inc.</v>
      </c>
      <c r="T395"/>
    </row>
    <row r="396" spans="1:20" ht="10.5" customHeight="1">
      <c r="A396" s="297" t="s">
        <v>2291</v>
      </c>
      <c r="B396" s="297" t="s">
        <v>4034</v>
      </c>
      <c r="C396" s="297" t="s">
        <v>3418</v>
      </c>
      <c r="D396" s="297" t="s">
        <v>4874</v>
      </c>
      <c r="E396" s="297" t="s">
        <v>1360</v>
      </c>
      <c r="F396" s="297" t="s">
        <v>3060</v>
      </c>
      <c r="G396" s="297"/>
      <c r="H396" s="297" t="s">
        <v>3390</v>
      </c>
      <c r="I396" s="297" t="s">
        <v>3391</v>
      </c>
      <c r="J396" s="45" t="str">
        <f t="shared" si="12"/>
        <v>TinOMSA</v>
      </c>
      <c r="K396" s="45" t="str">
        <f t="shared" si="13"/>
        <v>TinOMSA</v>
      </c>
      <c r="T396"/>
    </row>
    <row r="397" spans="1:20" ht="10.5" customHeight="1">
      <c r="A397" s="297" t="s">
        <v>2291</v>
      </c>
      <c r="B397" s="297" t="s">
        <v>3418</v>
      </c>
      <c r="C397" s="297" t="s">
        <v>3418</v>
      </c>
      <c r="D397" s="297" t="s">
        <v>4874</v>
      </c>
      <c r="E397" s="297" t="s">
        <v>1360</v>
      </c>
      <c r="F397" s="297" t="s">
        <v>3060</v>
      </c>
      <c r="G397" s="297"/>
      <c r="H397" s="297" t="s">
        <v>3390</v>
      </c>
      <c r="I397" s="297" t="s">
        <v>3391</v>
      </c>
      <c r="J397" s="45" t="str">
        <f t="shared" si="12"/>
        <v>TinOperaciones Metalurgical S.A.</v>
      </c>
      <c r="K397" s="45" t="str">
        <f t="shared" si="13"/>
        <v>TinOperaciones Metalurgical S.A.</v>
      </c>
      <c r="T397"/>
    </row>
    <row r="398" spans="1:20" ht="10.5" customHeight="1">
      <c r="A398" s="297" t="s">
        <v>2291</v>
      </c>
      <c r="B398" s="297" t="s">
        <v>3374</v>
      </c>
      <c r="C398" s="297" t="s">
        <v>4039</v>
      </c>
      <c r="D398" s="297" t="s">
        <v>2150</v>
      </c>
      <c r="E398" s="297" t="s">
        <v>1340</v>
      </c>
      <c r="F398" s="297" t="s">
        <v>3060</v>
      </c>
      <c r="G398" s="297"/>
      <c r="H398" s="297" t="s">
        <v>3372</v>
      </c>
      <c r="I398" s="297" t="s">
        <v>3373</v>
      </c>
      <c r="J398" s="45" t="str">
        <f t="shared" si="12"/>
        <v>TinPGMA</v>
      </c>
      <c r="K398" s="45" t="str">
        <f t="shared" si="13"/>
        <v>TinPGMA</v>
      </c>
      <c r="T398"/>
    </row>
    <row r="399" spans="1:20" ht="10.5" customHeight="1">
      <c r="A399" s="297" t="s">
        <v>2291</v>
      </c>
      <c r="B399" s="297" t="s">
        <v>3368</v>
      </c>
      <c r="C399" s="297" t="s">
        <v>3368</v>
      </c>
      <c r="D399" s="297" t="s">
        <v>1691</v>
      </c>
      <c r="E399" s="297" t="s">
        <v>2654</v>
      </c>
      <c r="F399" s="297" t="s">
        <v>3060</v>
      </c>
      <c r="G399" s="297"/>
      <c r="H399" s="297" t="s">
        <v>3369</v>
      </c>
      <c r="I399" s="297" t="s">
        <v>3370</v>
      </c>
      <c r="J399" s="45" t="str">
        <f t="shared" si="12"/>
        <v>TinPhoenix Metal Ltd.</v>
      </c>
      <c r="K399" s="45" t="str">
        <f t="shared" si="13"/>
        <v>TinPhoenix Metal Ltd.</v>
      </c>
      <c r="T399"/>
    </row>
    <row r="400" spans="1:20" ht="10.5" customHeight="1">
      <c r="A400" s="297" t="s">
        <v>2291</v>
      </c>
      <c r="B400" s="297" t="s">
        <v>4174</v>
      </c>
      <c r="C400" s="297" t="s">
        <v>4174</v>
      </c>
      <c r="D400" s="297" t="s">
        <v>2206</v>
      </c>
      <c r="E400" s="297" t="s">
        <v>2631</v>
      </c>
      <c r="F400" s="297" t="s">
        <v>3060</v>
      </c>
      <c r="G400" s="297"/>
      <c r="H400" s="297" t="s">
        <v>4909</v>
      </c>
      <c r="I400" s="297" t="s">
        <v>3385</v>
      </c>
      <c r="J400" s="45" t="str">
        <f t="shared" si="12"/>
        <v>TinPT Aries Kencana Sejahtera</v>
      </c>
      <c r="K400" s="45" t="str">
        <f t="shared" si="13"/>
        <v>TinPT Aries Kencana Sejahtera</v>
      </c>
      <c r="T400"/>
    </row>
    <row r="401" spans="1:20" ht="10.5" customHeight="1">
      <c r="A401" s="297" t="s">
        <v>2291</v>
      </c>
      <c r="B401" s="297" t="s">
        <v>1482</v>
      </c>
      <c r="C401" s="297" t="s">
        <v>1482</v>
      </c>
      <c r="D401" s="297" t="s">
        <v>2206</v>
      </c>
      <c r="E401" s="297" t="s">
        <v>1361</v>
      </c>
      <c r="F401" s="297" t="s">
        <v>3060</v>
      </c>
      <c r="G401" s="297"/>
      <c r="H401" s="297" t="s">
        <v>3384</v>
      </c>
      <c r="I401" s="297" t="s">
        <v>3385</v>
      </c>
      <c r="J401" s="45" t="str">
        <f t="shared" si="12"/>
        <v>TinPT Artha Cipta Langgeng</v>
      </c>
      <c r="K401" s="45" t="str">
        <f t="shared" si="13"/>
        <v>TinPT Artha Cipta Langgeng</v>
      </c>
      <c r="T401"/>
    </row>
    <row r="402" spans="1:20" ht="10.5" customHeight="1">
      <c r="A402" s="297" t="s">
        <v>2291</v>
      </c>
      <c r="B402" s="297" t="s">
        <v>2660</v>
      </c>
      <c r="C402" s="297" t="s">
        <v>2660</v>
      </c>
      <c r="D402" s="297" t="s">
        <v>2206</v>
      </c>
      <c r="E402" s="297" t="s">
        <v>2661</v>
      </c>
      <c r="F402" s="297" t="s">
        <v>3060</v>
      </c>
      <c r="G402" s="297"/>
      <c r="H402" s="297" t="s">
        <v>3384</v>
      </c>
      <c r="I402" s="297" t="s">
        <v>3385</v>
      </c>
      <c r="J402" s="45" t="str">
        <f t="shared" si="12"/>
        <v>TinPT ATD Makmur Mandiri Jaya</v>
      </c>
      <c r="K402" s="45" t="str">
        <f t="shared" si="13"/>
        <v>TinPT ATD Makmur Mandiri Jaya</v>
      </c>
      <c r="T402"/>
    </row>
    <row r="403" spans="1:20" ht="10.5" customHeight="1">
      <c r="A403" s="297" t="s">
        <v>2291</v>
      </c>
      <c r="B403" s="297" t="s">
        <v>1483</v>
      </c>
      <c r="C403" s="297" t="s">
        <v>1483</v>
      </c>
      <c r="D403" s="297" t="s">
        <v>2206</v>
      </c>
      <c r="E403" s="297" t="s">
        <v>1362</v>
      </c>
      <c r="F403" s="297" t="s">
        <v>3060</v>
      </c>
      <c r="G403" s="297"/>
      <c r="H403" s="297" t="s">
        <v>3419</v>
      </c>
      <c r="I403" s="297" t="s">
        <v>3385</v>
      </c>
      <c r="J403" s="45" t="str">
        <f t="shared" si="12"/>
        <v>TinPT Babel Inti Perkasa</v>
      </c>
      <c r="K403" s="45" t="str">
        <f t="shared" si="13"/>
        <v>TinPT Babel Inti Perkasa</v>
      </c>
      <c r="T403"/>
    </row>
    <row r="404" spans="1:20" ht="10.5" customHeight="1">
      <c r="A404" s="297" t="s">
        <v>2291</v>
      </c>
      <c r="B404" s="297" t="s">
        <v>4162</v>
      </c>
      <c r="C404" s="297" t="s">
        <v>4162</v>
      </c>
      <c r="D404" s="297" t="s">
        <v>2206</v>
      </c>
      <c r="E404" s="297" t="s">
        <v>4163</v>
      </c>
      <c r="F404" s="297" t="s">
        <v>3060</v>
      </c>
      <c r="G404" s="297"/>
      <c r="H404" s="297" t="s">
        <v>3386</v>
      </c>
      <c r="I404" s="297" t="s">
        <v>3385</v>
      </c>
      <c r="J404" s="45" t="str">
        <f t="shared" si="12"/>
        <v>TinPT Bangka Prima Tin</v>
      </c>
      <c r="K404" s="45" t="str">
        <f t="shared" si="13"/>
        <v>TinPT Bangka Prima Tin</v>
      </c>
      <c r="T404"/>
    </row>
    <row r="405" spans="1:20" ht="10.5" customHeight="1">
      <c r="A405" s="297" t="s">
        <v>2291</v>
      </c>
      <c r="B405" s="297" t="s">
        <v>1151</v>
      </c>
      <c r="C405" s="297" t="s">
        <v>1151</v>
      </c>
      <c r="D405" s="297" t="s">
        <v>2206</v>
      </c>
      <c r="E405" s="297" t="s">
        <v>1363</v>
      </c>
      <c r="F405" s="297" t="s">
        <v>3060</v>
      </c>
      <c r="G405" s="297"/>
      <c r="H405" s="297" t="s">
        <v>3384</v>
      </c>
      <c r="I405" s="297" t="s">
        <v>3385</v>
      </c>
      <c r="J405" s="45" t="str">
        <f t="shared" si="12"/>
        <v>TinPT Bangka Tin Industry</v>
      </c>
      <c r="K405" s="45" t="str">
        <f t="shared" si="13"/>
        <v>TinPT Bangka Tin Industry</v>
      </c>
      <c r="T405"/>
    </row>
    <row r="406" spans="1:20" ht="10.5" customHeight="1">
      <c r="A406" s="297" t="s">
        <v>2291</v>
      </c>
      <c r="B406" s="297" t="s">
        <v>1171</v>
      </c>
      <c r="C406" s="297" t="s">
        <v>1171</v>
      </c>
      <c r="D406" s="297" t="s">
        <v>2206</v>
      </c>
      <c r="E406" s="297" t="s">
        <v>1364</v>
      </c>
      <c r="F406" s="297" t="s">
        <v>3060</v>
      </c>
      <c r="G406" s="297"/>
      <c r="H406" s="297" t="s">
        <v>3388</v>
      </c>
      <c r="I406" s="297" t="s">
        <v>3385</v>
      </c>
      <c r="J406" s="45" t="str">
        <f t="shared" si="12"/>
        <v>TinPT Belitung Industri Sejahtera</v>
      </c>
      <c r="K406" s="45" t="str">
        <f t="shared" si="13"/>
        <v>TinPT Belitung Industri Sejahtera</v>
      </c>
      <c r="T406"/>
    </row>
    <row r="407" spans="1:20" ht="10.5" customHeight="1">
      <c r="A407" s="297" t="s">
        <v>2291</v>
      </c>
      <c r="B407" s="297" t="s">
        <v>1172</v>
      </c>
      <c r="C407" s="297" t="s">
        <v>1172</v>
      </c>
      <c r="D407" s="297" t="s">
        <v>2206</v>
      </c>
      <c r="E407" s="297" t="s">
        <v>1365</v>
      </c>
      <c r="F407" s="297" t="s">
        <v>3060</v>
      </c>
      <c r="G407" s="297"/>
      <c r="H407" s="297" t="s">
        <v>3388</v>
      </c>
      <c r="I407" s="297" t="s">
        <v>3385</v>
      </c>
      <c r="J407" s="45" t="str">
        <f t="shared" si="12"/>
        <v>TinPT Bukit Timah</v>
      </c>
      <c r="K407" s="45" t="str">
        <f t="shared" si="13"/>
        <v>TinPT Bukit Timah</v>
      </c>
      <c r="T407"/>
    </row>
    <row r="408" spans="1:20" ht="10.5" customHeight="1">
      <c r="A408" s="297" t="s">
        <v>2291</v>
      </c>
      <c r="B408" s="297" t="s">
        <v>3465</v>
      </c>
      <c r="C408" s="297" t="s">
        <v>3465</v>
      </c>
      <c r="D408" s="297" t="s">
        <v>2206</v>
      </c>
      <c r="E408" s="297" t="s">
        <v>3466</v>
      </c>
      <c r="F408" s="297" t="s">
        <v>3060</v>
      </c>
      <c r="G408" s="297"/>
      <c r="H408" s="297" t="s">
        <v>3388</v>
      </c>
      <c r="I408" s="297" t="s">
        <v>3385</v>
      </c>
      <c r="J408" s="45" t="str">
        <f t="shared" si="12"/>
        <v>TinPT Cipta Persada Mulia</v>
      </c>
      <c r="K408" s="45" t="str">
        <f t="shared" si="13"/>
        <v>TinPT Cipta Persada Mulia</v>
      </c>
      <c r="T408"/>
    </row>
    <row r="409" spans="1:20" ht="10.5" customHeight="1">
      <c r="A409" s="297" t="s">
        <v>2291</v>
      </c>
      <c r="B409" s="297" t="s">
        <v>1152</v>
      </c>
      <c r="C409" s="297" t="s">
        <v>1152</v>
      </c>
      <c r="D409" s="297" t="s">
        <v>2206</v>
      </c>
      <c r="E409" s="297" t="s">
        <v>1366</v>
      </c>
      <c r="F409" s="297" t="s">
        <v>3060</v>
      </c>
      <c r="G409" s="297"/>
      <c r="H409" s="297" t="s">
        <v>3388</v>
      </c>
      <c r="I409" s="297" t="s">
        <v>3385</v>
      </c>
      <c r="J409" s="45" t="str">
        <f t="shared" si="12"/>
        <v>TinPT DS Jaya Abadi</v>
      </c>
      <c r="K409" s="45" t="str">
        <f t="shared" si="13"/>
        <v>TinPT DS Jaya Abadi</v>
      </c>
      <c r="T409"/>
    </row>
    <row r="410" spans="1:20" ht="10.5" customHeight="1">
      <c r="A410" s="297" t="s">
        <v>2291</v>
      </c>
      <c r="B410" s="297" t="s">
        <v>1173</v>
      </c>
      <c r="C410" s="297" t="s">
        <v>1173</v>
      </c>
      <c r="D410" s="297" t="s">
        <v>2206</v>
      </c>
      <c r="E410" s="297" t="s">
        <v>1367</v>
      </c>
      <c r="F410" s="297" t="s">
        <v>3060</v>
      </c>
      <c r="G410" s="297"/>
      <c r="H410" s="297" t="s">
        <v>3422</v>
      </c>
      <c r="I410" s="297" t="s">
        <v>3421</v>
      </c>
      <c r="J410" s="45" t="str">
        <f t="shared" si="12"/>
        <v>TinPT Eunindo Usaha Mandiri</v>
      </c>
      <c r="K410" s="45" t="str">
        <f t="shared" si="13"/>
        <v>TinPT Eunindo Usaha Mandiri</v>
      </c>
      <c r="T410"/>
    </row>
    <row r="411" spans="1:20" ht="10.5" customHeight="1">
      <c r="A411" s="297" t="s">
        <v>2291</v>
      </c>
      <c r="B411" s="297" t="s">
        <v>58</v>
      </c>
      <c r="C411" s="297" t="s">
        <v>1172</v>
      </c>
      <c r="D411" s="297" t="s">
        <v>2206</v>
      </c>
      <c r="E411" s="297" t="s">
        <v>1365</v>
      </c>
      <c r="F411" s="297" t="s">
        <v>3060</v>
      </c>
      <c r="G411" s="297"/>
      <c r="H411" s="297" t="s">
        <v>3388</v>
      </c>
      <c r="I411" s="297" t="s">
        <v>3385</v>
      </c>
      <c r="J411" s="45" t="str">
        <f t="shared" si="12"/>
        <v>TinPT Indora Ermulti</v>
      </c>
      <c r="K411" s="45" t="str">
        <f t="shared" si="13"/>
        <v>TinPT Indora Ermulti</v>
      </c>
      <c r="T411"/>
    </row>
    <row r="412" spans="1:20" ht="10.5" customHeight="1">
      <c r="A412" s="297" t="s">
        <v>2291</v>
      </c>
      <c r="B412" s="297" t="s">
        <v>3420</v>
      </c>
      <c r="C412" s="297" t="s">
        <v>1172</v>
      </c>
      <c r="D412" s="297" t="s">
        <v>2206</v>
      </c>
      <c r="E412" s="297" t="s">
        <v>1365</v>
      </c>
      <c r="F412" s="297" t="s">
        <v>3060</v>
      </c>
      <c r="G412" s="297"/>
      <c r="H412" s="297" t="s">
        <v>3388</v>
      </c>
      <c r="I412" s="297" t="s">
        <v>3385</v>
      </c>
      <c r="J412" s="45" t="str">
        <f t="shared" si="12"/>
        <v>TinPT Indra Eramult Logam Industri</v>
      </c>
      <c r="K412" s="45" t="str">
        <f t="shared" si="13"/>
        <v>TinPT Indra Eramult Logam Industri</v>
      </c>
      <c r="T412"/>
    </row>
    <row r="413" spans="1:20" ht="10.5" customHeight="1">
      <c r="A413" s="297" t="s">
        <v>2291</v>
      </c>
      <c r="B413" s="297" t="s">
        <v>2662</v>
      </c>
      <c r="C413" s="297" t="s">
        <v>2662</v>
      </c>
      <c r="D413" s="297" t="s">
        <v>2206</v>
      </c>
      <c r="E413" s="297" t="s">
        <v>2663</v>
      </c>
      <c r="F413" s="297" t="s">
        <v>3060</v>
      </c>
      <c r="G413" s="297"/>
      <c r="H413" s="297" t="s">
        <v>3384</v>
      </c>
      <c r="I413" s="297" t="s">
        <v>3385</v>
      </c>
      <c r="J413" s="45" t="str">
        <f t="shared" si="12"/>
        <v>TinPT Inti Stania Prima</v>
      </c>
      <c r="K413" s="45" t="str">
        <f t="shared" si="13"/>
        <v>TinPT Inti Stania Prima</v>
      </c>
      <c r="T413"/>
    </row>
    <row r="414" spans="1:20" ht="10.5" customHeight="1">
      <c r="A414" s="297" t="s">
        <v>2291</v>
      </c>
      <c r="B414" s="297" t="s">
        <v>4137</v>
      </c>
      <c r="C414" s="297" t="s">
        <v>4137</v>
      </c>
      <c r="D414" s="297" t="s">
        <v>2206</v>
      </c>
      <c r="E414" s="297" t="s">
        <v>2630</v>
      </c>
      <c r="F414" s="297" t="s">
        <v>3060</v>
      </c>
      <c r="G414" s="297"/>
      <c r="H414" s="297" t="s">
        <v>3386</v>
      </c>
      <c r="I414" s="297" t="s">
        <v>3385</v>
      </c>
      <c r="J414" s="45" t="str">
        <f t="shared" si="12"/>
        <v>TinPT Justindo</v>
      </c>
      <c r="K414" s="45" t="str">
        <f t="shared" si="13"/>
        <v>TinPT Justindo</v>
      </c>
      <c r="T414"/>
    </row>
    <row r="415" spans="1:20" ht="10.5" customHeight="1">
      <c r="A415" s="297" t="s">
        <v>2291</v>
      </c>
      <c r="B415" s="297" t="s">
        <v>1153</v>
      </c>
      <c r="C415" s="297" t="s">
        <v>1153</v>
      </c>
      <c r="D415" s="297" t="s">
        <v>2206</v>
      </c>
      <c r="E415" s="297" t="s">
        <v>1368</v>
      </c>
      <c r="F415" s="297" t="s">
        <v>3060</v>
      </c>
      <c r="G415" s="297"/>
      <c r="H415" s="297" t="s">
        <v>3422</v>
      </c>
      <c r="I415" s="297" t="s">
        <v>3421</v>
      </c>
      <c r="J415" s="45" t="str">
        <f t="shared" si="12"/>
        <v>TinPT Karimun Mining</v>
      </c>
      <c r="K415" s="45" t="str">
        <f t="shared" si="13"/>
        <v>TinPT Karimun Mining</v>
      </c>
      <c r="T415"/>
    </row>
    <row r="416" spans="1:20" ht="10.5" customHeight="1">
      <c r="A416" s="297" t="s">
        <v>2291</v>
      </c>
      <c r="B416" s="297" t="s">
        <v>4246</v>
      </c>
      <c r="C416" s="297" t="s">
        <v>4246</v>
      </c>
      <c r="D416" s="297" t="s">
        <v>2206</v>
      </c>
      <c r="E416" s="297" t="s">
        <v>4247</v>
      </c>
      <c r="F416" s="297" t="s">
        <v>3060</v>
      </c>
      <c r="G416" s="297"/>
      <c r="H416" s="297" t="s">
        <v>3384</v>
      </c>
      <c r="I416" s="297" t="s">
        <v>3385</v>
      </c>
      <c r="J416" s="45" t="str">
        <f t="shared" si="12"/>
        <v>TinPT Kijang Jaya Mandiri</v>
      </c>
      <c r="K416" s="45" t="str">
        <f t="shared" si="13"/>
        <v>TinPT Kijang Jaya Mandiri</v>
      </c>
      <c r="T416"/>
    </row>
    <row r="417" spans="1:20" ht="10.5" customHeight="1">
      <c r="A417" s="297" t="s">
        <v>2291</v>
      </c>
      <c r="B417" s="297" t="s">
        <v>4911</v>
      </c>
      <c r="C417" s="297" t="s">
        <v>4911</v>
      </c>
      <c r="D417" s="297" t="s">
        <v>2206</v>
      </c>
      <c r="E417" s="297" t="s">
        <v>4912</v>
      </c>
      <c r="F417" s="297" t="s">
        <v>3060</v>
      </c>
      <c r="G417" s="297"/>
      <c r="H417" s="297" t="s">
        <v>4921</v>
      </c>
      <c r="I417" s="297" t="s">
        <v>3385</v>
      </c>
      <c r="J417" s="45" t="str">
        <f t="shared" si="12"/>
        <v>TinPT Lautan Harmonis Sejahtera</v>
      </c>
      <c r="K417" s="45" t="str">
        <f t="shared" si="13"/>
        <v>TinPT Lautan Harmonis Sejahtera</v>
      </c>
      <c r="T417"/>
    </row>
    <row r="418" spans="1:20" ht="10.5" customHeight="1">
      <c r="A418" s="297" t="s">
        <v>2291</v>
      </c>
      <c r="B418" s="297" t="s">
        <v>4913</v>
      </c>
      <c r="C418" s="297" t="s">
        <v>4913</v>
      </c>
      <c r="D418" s="297" t="s">
        <v>2206</v>
      </c>
      <c r="E418" s="297" t="s">
        <v>4914</v>
      </c>
      <c r="F418" s="297" t="s">
        <v>3060</v>
      </c>
      <c r="G418" s="297"/>
      <c r="H418" s="297" t="s">
        <v>4922</v>
      </c>
      <c r="I418" s="297" t="s">
        <v>3385</v>
      </c>
      <c r="J418" s="45" t="str">
        <f t="shared" si="12"/>
        <v>TinPT Menara Cipta Mulia</v>
      </c>
      <c r="K418" s="45" t="str">
        <f t="shared" si="13"/>
        <v>TinPT Menara Cipta Mulia</v>
      </c>
      <c r="T418"/>
    </row>
    <row r="419" spans="1:20" ht="10.5" customHeight="1">
      <c r="A419" s="297" t="s">
        <v>2291</v>
      </c>
      <c r="B419" s="297" t="s">
        <v>1174</v>
      </c>
      <c r="C419" s="297" t="s">
        <v>1174</v>
      </c>
      <c r="D419" s="297" t="s">
        <v>2206</v>
      </c>
      <c r="E419" s="297" t="s">
        <v>1369</v>
      </c>
      <c r="F419" s="297" t="s">
        <v>3060</v>
      </c>
      <c r="G419" s="297"/>
      <c r="H419" s="297" t="s">
        <v>3384</v>
      </c>
      <c r="I419" s="297" t="s">
        <v>3385</v>
      </c>
      <c r="J419" s="45" t="str">
        <f t="shared" si="12"/>
        <v>TinPT Mitra Stania Prima</v>
      </c>
      <c r="K419" s="45" t="str">
        <f t="shared" si="13"/>
        <v>TinPT Mitra Stania Prima</v>
      </c>
      <c r="T419"/>
    </row>
    <row r="420" spans="1:20" s="226" customFormat="1" ht="10.15" customHeight="1">
      <c r="A420" s="297" t="s">
        <v>2291</v>
      </c>
      <c r="B420" s="297" t="s">
        <v>4618</v>
      </c>
      <c r="C420" s="297" t="s">
        <v>4618</v>
      </c>
      <c r="D420" s="297" t="s">
        <v>2206</v>
      </c>
      <c r="E420" s="297" t="s">
        <v>4619</v>
      </c>
      <c r="F420" s="297" t="s">
        <v>3060</v>
      </c>
      <c r="G420" s="297"/>
      <c r="H420" s="297" t="s">
        <v>4636</v>
      </c>
      <c r="I420" s="297" t="s">
        <v>3424</v>
      </c>
      <c r="J420" s="45" t="str">
        <f t="shared" si="12"/>
        <v>TinPT O.M. Indonesia</v>
      </c>
      <c r="K420" s="45" t="str">
        <f t="shared" si="13"/>
        <v>TinPT O.M. Indonesia</v>
      </c>
      <c r="N420" s="45"/>
      <c r="T420"/>
    </row>
    <row r="421" spans="1:20" ht="10.5" customHeight="1">
      <c r="A421" s="297" t="s">
        <v>2291</v>
      </c>
      <c r="B421" s="297" t="s">
        <v>2632</v>
      </c>
      <c r="C421" s="297" t="s">
        <v>2632</v>
      </c>
      <c r="D421" s="297" t="s">
        <v>2206</v>
      </c>
      <c r="E421" s="297" t="s">
        <v>2633</v>
      </c>
      <c r="F421" s="297" t="s">
        <v>3060</v>
      </c>
      <c r="G421" s="297"/>
      <c r="H421" s="297" t="s">
        <v>3384</v>
      </c>
      <c r="I421" s="297" t="s">
        <v>3385</v>
      </c>
      <c r="J421" s="45" t="str">
        <f t="shared" si="12"/>
        <v>TinPT Panca Mega Persada</v>
      </c>
      <c r="K421" s="45" t="str">
        <f t="shared" si="13"/>
        <v>TinPT Panca Mega Persada</v>
      </c>
      <c r="T421"/>
    </row>
    <row r="422" spans="1:20" ht="10.5" customHeight="1">
      <c r="A422" s="297" t="s">
        <v>2291</v>
      </c>
      <c r="B422" s="297" t="s">
        <v>1370</v>
      </c>
      <c r="C422" s="297" t="s">
        <v>1370</v>
      </c>
      <c r="D422" s="297" t="s">
        <v>2206</v>
      </c>
      <c r="E422" s="297" t="s">
        <v>1371</v>
      </c>
      <c r="F422" s="297" t="s">
        <v>3060</v>
      </c>
      <c r="G422" s="297"/>
      <c r="H422" s="297" t="s">
        <v>3388</v>
      </c>
      <c r="I422" s="297" t="s">
        <v>3385</v>
      </c>
      <c r="J422" s="45" t="str">
        <f t="shared" si="12"/>
        <v>TinPT Prima Timah Utama</v>
      </c>
      <c r="K422" s="45" t="str">
        <f t="shared" si="13"/>
        <v>TinPT Prima Timah Utama</v>
      </c>
      <c r="T422"/>
    </row>
    <row r="423" spans="1:20" ht="10.5" customHeight="1">
      <c r="A423" s="297" t="s">
        <v>2291</v>
      </c>
      <c r="B423" s="297" t="s">
        <v>4057</v>
      </c>
      <c r="C423" s="297" t="s">
        <v>4057</v>
      </c>
      <c r="D423" s="297" t="s">
        <v>2206</v>
      </c>
      <c r="E423" s="297" t="s">
        <v>1372</v>
      </c>
      <c r="F423" s="297" t="s">
        <v>3060</v>
      </c>
      <c r="G423" s="297"/>
      <c r="H423" s="297" t="s">
        <v>3384</v>
      </c>
      <c r="I423" s="297" t="s">
        <v>3385</v>
      </c>
      <c r="J423" s="45" t="str">
        <f t="shared" si="12"/>
        <v>TinPT Refined Bangka Tin</v>
      </c>
      <c r="K423" s="45" t="str">
        <f t="shared" si="13"/>
        <v>TinPT Refined Bangka Tin</v>
      </c>
      <c r="T423"/>
    </row>
    <row r="424" spans="1:20" ht="10.5" customHeight="1">
      <c r="A424" s="297" t="s">
        <v>2291</v>
      </c>
      <c r="B424" s="297" t="s">
        <v>1175</v>
      </c>
      <c r="C424" s="297" t="s">
        <v>1175</v>
      </c>
      <c r="D424" s="297" t="s">
        <v>2206</v>
      </c>
      <c r="E424" s="297" t="s">
        <v>1373</v>
      </c>
      <c r="F424" s="297" t="s">
        <v>3060</v>
      </c>
      <c r="G424" s="297"/>
      <c r="H424" s="297" t="s">
        <v>3388</v>
      </c>
      <c r="I424" s="297" t="s">
        <v>3385</v>
      </c>
      <c r="J424" s="45" t="str">
        <f t="shared" si="12"/>
        <v>TinPT Sariwiguna Binasentosa</v>
      </c>
      <c r="K424" s="45" t="str">
        <f t="shared" si="13"/>
        <v>TinPT Sariwiguna Binasentosa</v>
      </c>
      <c r="T424"/>
    </row>
    <row r="425" spans="1:20" ht="10.5" customHeight="1">
      <c r="A425" s="297" t="s">
        <v>2291</v>
      </c>
      <c r="B425" s="297" t="s">
        <v>2336</v>
      </c>
      <c r="C425" s="297" t="s">
        <v>2336</v>
      </c>
      <c r="D425" s="297" t="s">
        <v>2206</v>
      </c>
      <c r="E425" s="297" t="s">
        <v>1374</v>
      </c>
      <c r="F425" s="297" t="s">
        <v>3060</v>
      </c>
      <c r="G425" s="297"/>
      <c r="H425" s="297" t="s">
        <v>3388</v>
      </c>
      <c r="I425" s="297" t="s">
        <v>3385</v>
      </c>
      <c r="J425" s="45" t="str">
        <f t="shared" si="12"/>
        <v>TinPT Stanindo Inti Perkasa</v>
      </c>
      <c r="K425" s="45" t="str">
        <f t="shared" si="13"/>
        <v>TinPT Stanindo Inti Perkasa</v>
      </c>
      <c r="T425"/>
    </row>
    <row r="426" spans="1:20" ht="10.5" customHeight="1">
      <c r="A426" s="297" t="s">
        <v>2291</v>
      </c>
      <c r="B426" s="297" t="s">
        <v>4204</v>
      </c>
      <c r="C426" s="297" t="s">
        <v>4204</v>
      </c>
      <c r="D426" s="297" t="s">
        <v>2206</v>
      </c>
      <c r="E426" s="297" t="s">
        <v>4205</v>
      </c>
      <c r="F426" s="297" t="s">
        <v>3060</v>
      </c>
      <c r="G426" s="297"/>
      <c r="H426" s="297" t="s">
        <v>3386</v>
      </c>
      <c r="I426" s="297" t="s">
        <v>3385</v>
      </c>
      <c r="J426" s="45" t="str">
        <f t="shared" si="12"/>
        <v>TinPT Sukses Inti Makmur</v>
      </c>
      <c r="K426" s="45" t="str">
        <f t="shared" si="13"/>
        <v>TinPT Sukses Inti Makmur</v>
      </c>
      <c r="T426"/>
    </row>
    <row r="427" spans="1:20" ht="10.5" customHeight="1">
      <c r="A427" s="297" t="s">
        <v>2291</v>
      </c>
      <c r="B427" s="297" t="s">
        <v>2634</v>
      </c>
      <c r="C427" s="297" t="s">
        <v>2634</v>
      </c>
      <c r="D427" s="297" t="s">
        <v>2206</v>
      </c>
      <c r="E427" s="297" t="s">
        <v>2635</v>
      </c>
      <c r="F427" s="297" t="s">
        <v>3060</v>
      </c>
      <c r="G427" s="297"/>
      <c r="H427" s="297" t="s">
        <v>3388</v>
      </c>
      <c r="I427" s="297" t="s">
        <v>3385</v>
      </c>
      <c r="J427" s="45" t="str">
        <f t="shared" si="12"/>
        <v>TinPT Sumber Jaya Indah</v>
      </c>
      <c r="K427" s="45" t="str">
        <f t="shared" si="13"/>
        <v>TinPT Sumber Jaya Indah</v>
      </c>
      <c r="T427"/>
    </row>
    <row r="428" spans="1:20" ht="10.5" customHeight="1">
      <c r="A428" s="297" t="s">
        <v>2291</v>
      </c>
      <c r="B428" s="297" t="s">
        <v>1923</v>
      </c>
      <c r="C428" s="297" t="s">
        <v>3425</v>
      </c>
      <c r="D428" s="297" t="s">
        <v>2206</v>
      </c>
      <c r="E428" s="297" t="s">
        <v>1399</v>
      </c>
      <c r="F428" s="297" t="s">
        <v>3060</v>
      </c>
      <c r="G428" s="297"/>
      <c r="H428" s="297" t="s">
        <v>3426</v>
      </c>
      <c r="I428" s="297" t="s">
        <v>3427</v>
      </c>
      <c r="J428" s="45" t="str">
        <f t="shared" si="12"/>
        <v>TinPT Tambang Timah</v>
      </c>
      <c r="K428" s="45" t="str">
        <f t="shared" si="13"/>
        <v>TinPT Tambang Timah</v>
      </c>
      <c r="T428"/>
    </row>
    <row r="429" spans="1:20" ht="10.5" customHeight="1">
      <c r="A429" s="297" t="s">
        <v>2291</v>
      </c>
      <c r="B429" s="297" t="s">
        <v>3425</v>
      </c>
      <c r="C429" s="297" t="s">
        <v>3425</v>
      </c>
      <c r="D429" s="297" t="s">
        <v>2206</v>
      </c>
      <c r="E429" s="297" t="s">
        <v>1399</v>
      </c>
      <c r="F429" s="297" t="s">
        <v>3060</v>
      </c>
      <c r="G429" s="297"/>
      <c r="H429" s="297" t="s">
        <v>3426</v>
      </c>
      <c r="I429" s="297" t="s">
        <v>3427</v>
      </c>
      <c r="J429" s="45" t="str">
        <f t="shared" si="12"/>
        <v>TinPT Timah (Persero) Tbk Kundur</v>
      </c>
      <c r="K429" s="45" t="str">
        <f t="shared" si="13"/>
        <v>TinPT Timah (Persero) Tbk Kundur</v>
      </c>
      <c r="T429"/>
    </row>
    <row r="430" spans="1:20" ht="10.5" customHeight="1">
      <c r="A430" s="297" t="s">
        <v>2291</v>
      </c>
      <c r="B430" s="297" t="s">
        <v>4151</v>
      </c>
      <c r="C430" s="297" t="s">
        <v>4151</v>
      </c>
      <c r="D430" s="297" t="s">
        <v>2206</v>
      </c>
      <c r="E430" s="297" t="s">
        <v>1375</v>
      </c>
      <c r="F430" s="297" t="s">
        <v>3060</v>
      </c>
      <c r="G430" s="297"/>
      <c r="H430" s="297" t="s">
        <v>3429</v>
      </c>
      <c r="I430" s="297" t="s">
        <v>3385</v>
      </c>
      <c r="J430" s="45" t="str">
        <f t="shared" si="12"/>
        <v>TinPT Timah (Persero) Tbk Mentok</v>
      </c>
      <c r="K430" s="45" t="str">
        <f t="shared" si="13"/>
        <v>TinPT Timah (Persero) Tbk Mentok</v>
      </c>
      <c r="T430"/>
    </row>
    <row r="431" spans="1:20" ht="10.5" customHeight="1">
      <c r="A431" s="297" t="s">
        <v>2291</v>
      </c>
      <c r="B431" s="297" t="s">
        <v>952</v>
      </c>
      <c r="C431" s="297" t="s">
        <v>952</v>
      </c>
      <c r="D431" s="297" t="s">
        <v>2206</v>
      </c>
      <c r="E431" s="297" t="s">
        <v>1376</v>
      </c>
      <c r="F431" s="297" t="s">
        <v>3060</v>
      </c>
      <c r="G431" s="297"/>
      <c r="H431" s="297" t="s">
        <v>3388</v>
      </c>
      <c r="I431" s="297" t="s">
        <v>3385</v>
      </c>
      <c r="J431" s="45" t="str">
        <f t="shared" si="12"/>
        <v>TinPT Tinindo Inter Nusa</v>
      </c>
      <c r="K431" s="45" t="str">
        <f t="shared" si="13"/>
        <v>TinPT Tinindo Inter Nusa</v>
      </c>
      <c r="T431"/>
    </row>
    <row r="432" spans="1:20" ht="10.5" customHeight="1">
      <c r="A432" s="297" t="s">
        <v>2291</v>
      </c>
      <c r="B432" s="297" t="s">
        <v>2664</v>
      </c>
      <c r="C432" s="297" t="s">
        <v>2664</v>
      </c>
      <c r="D432" s="297" t="s">
        <v>2206</v>
      </c>
      <c r="E432" s="297" t="s">
        <v>2665</v>
      </c>
      <c r="F432" s="297" t="s">
        <v>3060</v>
      </c>
      <c r="G432" s="297"/>
      <c r="H432" s="297" t="s">
        <v>3446</v>
      </c>
      <c r="I432" s="297" t="s">
        <v>3424</v>
      </c>
      <c r="J432" s="45" t="str">
        <f t="shared" si="12"/>
        <v>TinPT Tirus Putra Mandiri</v>
      </c>
      <c r="K432" s="45" t="str">
        <f t="shared" si="13"/>
        <v>TinPT Tirus Putra Mandiri</v>
      </c>
      <c r="T432"/>
    </row>
    <row r="433" spans="1:20" ht="10.5" customHeight="1">
      <c r="A433" s="297" t="s">
        <v>2291</v>
      </c>
      <c r="B433" s="297" t="s">
        <v>4213</v>
      </c>
      <c r="C433" s="297" t="s">
        <v>4213</v>
      </c>
      <c r="D433" s="297" t="s">
        <v>2206</v>
      </c>
      <c r="E433" s="297" t="s">
        <v>4214</v>
      </c>
      <c r="F433" s="297" t="s">
        <v>3060</v>
      </c>
      <c r="G433" s="297"/>
      <c r="H433" s="297" t="s">
        <v>4638</v>
      </c>
      <c r="I433" s="297" t="s">
        <v>4637</v>
      </c>
      <c r="J433" s="45" t="str">
        <f t="shared" si="12"/>
        <v>TinPT Tommy Utama</v>
      </c>
      <c r="K433" s="45" t="str">
        <f t="shared" si="13"/>
        <v>TinPT Tommy Utama</v>
      </c>
      <c r="T433"/>
    </row>
    <row r="434" spans="1:20" ht="10.5" customHeight="1">
      <c r="A434" s="297" t="s">
        <v>2291</v>
      </c>
      <c r="B434" s="297" t="s">
        <v>4072</v>
      </c>
      <c r="C434" s="297" t="s">
        <v>4072</v>
      </c>
      <c r="D434" s="297" t="s">
        <v>2206</v>
      </c>
      <c r="E434" s="297" t="s">
        <v>2666</v>
      </c>
      <c r="F434" s="297" t="s">
        <v>3060</v>
      </c>
      <c r="G434" s="297"/>
      <c r="H434" s="297" t="s">
        <v>3447</v>
      </c>
      <c r="I434" s="297" t="s">
        <v>3448</v>
      </c>
      <c r="J434" s="45" t="str">
        <f t="shared" si="12"/>
        <v>TinPT Wahana Perkit Jaya</v>
      </c>
      <c r="K434" s="45" t="str">
        <f t="shared" si="13"/>
        <v>TinPT Wahana Perkit Jaya</v>
      </c>
      <c r="T434"/>
    </row>
    <row r="435" spans="1:20" ht="10.5" customHeight="1">
      <c r="A435" s="297" t="s">
        <v>2291</v>
      </c>
      <c r="B435" s="297" t="s">
        <v>4179</v>
      </c>
      <c r="C435" s="297" t="s">
        <v>4179</v>
      </c>
      <c r="D435" s="297" t="s">
        <v>2139</v>
      </c>
      <c r="E435" s="297" t="s">
        <v>3467</v>
      </c>
      <c r="F435" s="297" t="s">
        <v>3060</v>
      </c>
      <c r="G435" s="297"/>
      <c r="H435" s="297" t="s">
        <v>3312</v>
      </c>
      <c r="I435" s="297" t="s">
        <v>3367</v>
      </c>
      <c r="J435" s="45" t="str">
        <f t="shared" si="12"/>
        <v>TinResind Indústria e Comércio Ltda.</v>
      </c>
      <c r="K435" s="45" t="str">
        <f t="shared" si="13"/>
        <v>TinResind Indústria e Comércio Ltda.</v>
      </c>
      <c r="T435"/>
    </row>
    <row r="436" spans="1:20" ht="10.5" customHeight="1">
      <c r="A436" s="297" t="s">
        <v>2291</v>
      </c>
      <c r="B436" s="297" t="s">
        <v>1377</v>
      </c>
      <c r="C436" s="297" t="s">
        <v>1377</v>
      </c>
      <c r="D436" s="297" t="s">
        <v>4878</v>
      </c>
      <c r="E436" s="297" t="s">
        <v>1378</v>
      </c>
      <c r="F436" s="297" t="s">
        <v>3060</v>
      </c>
      <c r="G436" s="297"/>
      <c r="H436" s="297" t="s">
        <v>3430</v>
      </c>
      <c r="I436" s="297" t="s">
        <v>3231</v>
      </c>
      <c r="J436" s="45" t="str">
        <f t="shared" si="12"/>
        <v>TinRui Da Hung</v>
      </c>
      <c r="K436" s="45" t="str">
        <f t="shared" si="13"/>
        <v>TinRui Da Hung</v>
      </c>
      <c r="T436"/>
    </row>
    <row r="437" spans="1:20" ht="9.6" customHeight="1">
      <c r="A437" s="297" t="s">
        <v>2291</v>
      </c>
      <c r="B437" s="297" t="s">
        <v>4614</v>
      </c>
      <c r="C437" s="297" t="s">
        <v>4043</v>
      </c>
      <c r="D437" s="297" t="s">
        <v>2150</v>
      </c>
      <c r="E437" s="297" t="s">
        <v>1351</v>
      </c>
      <c r="F437" s="297" t="s">
        <v>3060</v>
      </c>
      <c r="G437" s="297"/>
      <c r="H437" s="297" t="s">
        <v>3398</v>
      </c>
      <c r="I437" s="297" t="s">
        <v>3139</v>
      </c>
      <c r="J437" s="45" t="str">
        <f t="shared" si="12"/>
        <v>TinShunda Huichang Kam Tin Co., Ltd.</v>
      </c>
      <c r="K437" s="45" t="str">
        <f t="shared" si="13"/>
        <v>TinShunda Huichang Kam Tin Co., Ltd.</v>
      </c>
      <c r="T437"/>
    </row>
    <row r="438" spans="1:20" ht="10.5" customHeight="1">
      <c r="A438" s="297" t="s">
        <v>2291</v>
      </c>
      <c r="B438" s="297" t="s">
        <v>4198</v>
      </c>
      <c r="C438" s="297" t="s">
        <v>4621</v>
      </c>
      <c r="D438" s="297" t="s">
        <v>2150</v>
      </c>
      <c r="E438" s="297" t="s">
        <v>1383</v>
      </c>
      <c r="F438" s="297" t="s">
        <v>3060</v>
      </c>
      <c r="G438" s="297"/>
      <c r="H438" s="297" t="s">
        <v>4910</v>
      </c>
      <c r="I438" s="297" t="s">
        <v>3096</v>
      </c>
      <c r="J438" s="45" t="str">
        <f t="shared" si="12"/>
        <v>TinSmelting Branch of Yunnan Tin Company Ltd</v>
      </c>
      <c r="K438" s="45" t="str">
        <f t="shared" si="13"/>
        <v>TinSmelting Branch of Yunnan Tin Company Ltd</v>
      </c>
      <c r="T438"/>
    </row>
    <row r="439" spans="1:20" ht="10.5" customHeight="1">
      <c r="A439" s="297" t="s">
        <v>2291</v>
      </c>
      <c r="B439" s="297" t="s">
        <v>4062</v>
      </c>
      <c r="C439" s="297" t="s">
        <v>4062</v>
      </c>
      <c r="D439" s="297" t="s">
        <v>2139</v>
      </c>
      <c r="E439" s="297" t="s">
        <v>1379</v>
      </c>
      <c r="F439" s="297" t="s">
        <v>3060</v>
      </c>
      <c r="G439" s="297"/>
      <c r="H439" s="297" t="s">
        <v>3431</v>
      </c>
      <c r="I439" s="297" t="s">
        <v>3248</v>
      </c>
      <c r="J439" s="45" t="str">
        <f t="shared" si="12"/>
        <v>TinSoft Metais Ltda.</v>
      </c>
      <c r="K439" s="45" t="str">
        <f t="shared" si="13"/>
        <v>TinSoft Metais Ltda.</v>
      </c>
      <c r="T439"/>
    </row>
    <row r="440" spans="1:20" ht="10.5" customHeight="1">
      <c r="A440" s="297" t="s">
        <v>2291</v>
      </c>
      <c r="B440" s="297" t="s">
        <v>59</v>
      </c>
      <c r="C440" s="297" t="s">
        <v>1922</v>
      </c>
      <c r="D440" s="297" t="s">
        <v>1716</v>
      </c>
      <c r="E440" s="297" t="s">
        <v>1380</v>
      </c>
      <c r="F440" s="297" t="s">
        <v>3060</v>
      </c>
      <c r="G440" s="297"/>
      <c r="H440" s="297" t="s">
        <v>3432</v>
      </c>
      <c r="I440" s="297" t="s">
        <v>3433</v>
      </c>
      <c r="J440" s="45" t="str">
        <f t="shared" si="12"/>
        <v>TinThai Solder Industry Corp., Ltd.</v>
      </c>
      <c r="K440" s="45" t="str">
        <f t="shared" si="13"/>
        <v>TinThai Solder Industry Corp., Ltd.</v>
      </c>
      <c r="T440"/>
    </row>
    <row r="441" spans="1:20" ht="10.5" customHeight="1">
      <c r="A441" s="297" t="s">
        <v>2291</v>
      </c>
      <c r="B441" s="297" t="s">
        <v>3434</v>
      </c>
      <c r="C441" s="297" t="s">
        <v>1922</v>
      </c>
      <c r="D441" s="297" t="s">
        <v>1716</v>
      </c>
      <c r="E441" s="297" t="s">
        <v>1380</v>
      </c>
      <c r="F441" s="297" t="s">
        <v>3060</v>
      </c>
      <c r="G441" s="297"/>
      <c r="H441" s="297" t="s">
        <v>3432</v>
      </c>
      <c r="I441" s="297" t="s">
        <v>3433</v>
      </c>
      <c r="J441" s="45" t="str">
        <f t="shared" si="12"/>
        <v>TinThailand Smelting &amp; Refining Co Ltd</v>
      </c>
      <c r="K441" s="45" t="str">
        <f t="shared" si="13"/>
        <v>TinThailand Smelting &amp; Refining Co Ltd</v>
      </c>
      <c r="T441"/>
    </row>
    <row r="442" spans="1:20" ht="10.5" customHeight="1">
      <c r="A442" s="297" t="s">
        <v>2291</v>
      </c>
      <c r="B442" s="297" t="s">
        <v>1922</v>
      </c>
      <c r="C442" s="297" t="s">
        <v>1922</v>
      </c>
      <c r="D442" s="297" t="s">
        <v>1716</v>
      </c>
      <c r="E442" s="297" t="s">
        <v>1380</v>
      </c>
      <c r="F442" s="297" t="s">
        <v>3060</v>
      </c>
      <c r="G442" s="297"/>
      <c r="H442" s="297" t="s">
        <v>3432</v>
      </c>
      <c r="I442" s="297" t="s">
        <v>3433</v>
      </c>
      <c r="J442" s="45" t="str">
        <f t="shared" si="12"/>
        <v>TinThaisarco</v>
      </c>
      <c r="K442" s="45" t="str">
        <f t="shared" si="13"/>
        <v>TinThaisarco</v>
      </c>
      <c r="T442"/>
    </row>
    <row r="443" spans="1:20" ht="10.5" customHeight="1">
      <c r="A443" s="297" t="s">
        <v>2291</v>
      </c>
      <c r="B443" s="297" t="s">
        <v>3437</v>
      </c>
      <c r="C443" s="297" t="s">
        <v>3435</v>
      </c>
      <c r="D443" s="297" t="s">
        <v>2150</v>
      </c>
      <c r="E443" s="297" t="s">
        <v>3436</v>
      </c>
      <c r="F443" s="297" t="s">
        <v>3060</v>
      </c>
      <c r="G443" s="297"/>
      <c r="H443" s="297" t="s">
        <v>4910</v>
      </c>
      <c r="I443" s="297" t="s">
        <v>3096</v>
      </c>
      <c r="J443" s="45" t="str">
        <f t="shared" si="12"/>
        <v>TinThe Gejiu cloud new colored electrolytic</v>
      </c>
      <c r="K443" s="45" t="str">
        <f t="shared" si="13"/>
        <v>TinThe Gejiu cloud new colored electrolytic</v>
      </c>
      <c r="T443"/>
    </row>
    <row r="444" spans="1:20" ht="10.5" customHeight="1">
      <c r="A444" s="297" t="s">
        <v>2291</v>
      </c>
      <c r="B444" s="297" t="s">
        <v>60</v>
      </c>
      <c r="C444" s="297" t="s">
        <v>4621</v>
      </c>
      <c r="D444" s="297" t="s">
        <v>2150</v>
      </c>
      <c r="E444" s="297" t="s">
        <v>1383</v>
      </c>
      <c r="F444" s="297" t="s">
        <v>3060</v>
      </c>
      <c r="G444" s="297"/>
      <c r="H444" s="297" t="s">
        <v>4910</v>
      </c>
      <c r="I444" s="297" t="s">
        <v>3096</v>
      </c>
      <c r="J444" s="45" t="str">
        <f t="shared" si="12"/>
        <v>TinTin Products Manufacturing Co.LTD. of YTCL</v>
      </c>
      <c r="K444" s="45" t="str">
        <f t="shared" si="13"/>
        <v>TinTin Products Manufacturing Co.LTD. of YTCL</v>
      </c>
      <c r="T444"/>
    </row>
    <row r="445" spans="1:20" ht="10.5" customHeight="1">
      <c r="A445" s="297" t="s">
        <v>2291</v>
      </c>
      <c r="B445" s="297" t="s">
        <v>3410</v>
      </c>
      <c r="C445" s="297" t="s">
        <v>1924</v>
      </c>
      <c r="D445" s="297" t="s">
        <v>2139</v>
      </c>
      <c r="E445" s="297" t="s">
        <v>1355</v>
      </c>
      <c r="F445" s="297" t="s">
        <v>3060</v>
      </c>
      <c r="G445" s="297"/>
      <c r="H445" s="297" t="s">
        <v>3409</v>
      </c>
      <c r="I445" s="297" t="s">
        <v>3248</v>
      </c>
      <c r="J445" s="45" t="str">
        <f t="shared" si="12"/>
        <v>TinToboca/ Paranapenema</v>
      </c>
      <c r="K445" s="45" t="str">
        <f t="shared" si="13"/>
        <v>TinToboca/ Paranapenema</v>
      </c>
      <c r="T445"/>
    </row>
    <row r="446" spans="1:20" ht="10.5" customHeight="1">
      <c r="A446" s="297" t="s">
        <v>2291</v>
      </c>
      <c r="B446" s="297" t="s">
        <v>3461</v>
      </c>
      <c r="C446" s="297" t="s">
        <v>3461</v>
      </c>
      <c r="D446" s="297" t="s">
        <v>1737</v>
      </c>
      <c r="E446" s="297" t="s">
        <v>3462</v>
      </c>
      <c r="F446" s="297" t="s">
        <v>3060</v>
      </c>
      <c r="G446" s="297"/>
      <c r="H446" s="297" t="s">
        <v>3463</v>
      </c>
      <c r="I446" s="297" t="s">
        <v>3464</v>
      </c>
      <c r="J446" s="45" t="str">
        <f t="shared" si="12"/>
        <v>TinTuyen Quang Non-Ferrous Metals Joint Stock Company</v>
      </c>
      <c r="K446" s="45" t="str">
        <f t="shared" si="13"/>
        <v>TinTuyen Quang Non-Ferrous Metals Joint Stock Company</v>
      </c>
      <c r="T446"/>
    </row>
    <row r="447" spans="1:20" ht="10.5" customHeight="1">
      <c r="A447" s="297" t="s">
        <v>2291</v>
      </c>
      <c r="B447" s="297" t="s">
        <v>4199</v>
      </c>
      <c r="C447" s="297" t="s">
        <v>3425</v>
      </c>
      <c r="D447" s="297" t="s">
        <v>2206</v>
      </c>
      <c r="E447" s="297" t="s">
        <v>1399</v>
      </c>
      <c r="F447" s="297" t="s">
        <v>3060</v>
      </c>
      <c r="G447" s="297"/>
      <c r="H447" s="297" t="s">
        <v>3426</v>
      </c>
      <c r="I447" s="297" t="s">
        <v>3427</v>
      </c>
      <c r="J447" s="45" t="str">
        <f t="shared" si="12"/>
        <v>TinUnit Timah Kundur PT Tambang</v>
      </c>
      <c r="K447" s="45" t="str">
        <f t="shared" si="13"/>
        <v>TinUnit Timah Kundur PT Tambang</v>
      </c>
      <c r="T447"/>
    </row>
    <row r="448" spans="1:20" ht="10.5" customHeight="1">
      <c r="A448" s="297" t="s">
        <v>2291</v>
      </c>
      <c r="B448" s="297" t="s">
        <v>3439</v>
      </c>
      <c r="C448" s="297" t="s">
        <v>3439</v>
      </c>
      <c r="D448" s="297" t="s">
        <v>1737</v>
      </c>
      <c r="E448" s="297" t="s">
        <v>3440</v>
      </c>
      <c r="F448" s="297" t="s">
        <v>3060</v>
      </c>
      <c r="G448" s="297"/>
      <c r="H448" s="297" t="s">
        <v>3441</v>
      </c>
      <c r="I448" s="297" t="s">
        <v>3442</v>
      </c>
      <c r="J448" s="45" t="str">
        <f t="shared" si="12"/>
        <v>TinVQB Mineral and Trading Group JSC</v>
      </c>
      <c r="K448" s="45" t="str">
        <f t="shared" si="13"/>
        <v>TinVQB Mineral and Trading Group JSC</v>
      </c>
      <c r="T448"/>
    </row>
    <row r="449" spans="1:20" ht="10.5" customHeight="1">
      <c r="A449" s="297" t="s">
        <v>2291</v>
      </c>
      <c r="B449" s="297" t="s">
        <v>67</v>
      </c>
      <c r="C449" s="297" t="s">
        <v>67</v>
      </c>
      <c r="D449" s="297" t="s">
        <v>2139</v>
      </c>
      <c r="E449" s="297" t="s">
        <v>1381</v>
      </c>
      <c r="F449" s="297" t="s">
        <v>3060</v>
      </c>
      <c r="G449" s="297"/>
      <c r="H449" s="297" t="s">
        <v>3382</v>
      </c>
      <c r="I449" s="297" t="s">
        <v>3383</v>
      </c>
      <c r="J449" s="45" t="str">
        <f t="shared" si="12"/>
        <v>TinWhite Solder Metalurgia e Mineração Ltda.</v>
      </c>
      <c r="K449" s="45" t="str">
        <f t="shared" si="13"/>
        <v>TinWhite Solder Metalurgia e Mineração Ltda.</v>
      </c>
      <c r="T449"/>
    </row>
    <row r="450" spans="1:20" ht="10.5" customHeight="1">
      <c r="A450" s="297" t="s">
        <v>2291</v>
      </c>
      <c r="B450" s="297" t="s">
        <v>3443</v>
      </c>
      <c r="C450" s="297" t="s">
        <v>67</v>
      </c>
      <c r="D450" s="297" t="s">
        <v>2139</v>
      </c>
      <c r="E450" s="297" t="s">
        <v>1381</v>
      </c>
      <c r="F450" s="297" t="s">
        <v>3060</v>
      </c>
      <c r="G450" s="297"/>
      <c r="H450" s="297" t="s">
        <v>3382</v>
      </c>
      <c r="I450" s="297" t="s">
        <v>3383</v>
      </c>
      <c r="J450" s="45" t="str">
        <f t="shared" si="12"/>
        <v>TinWhite Solder Metalurgica</v>
      </c>
      <c r="K450" s="45" t="str">
        <f t="shared" si="13"/>
        <v>TinWhite Solder Metalurgica</v>
      </c>
      <c r="T450"/>
    </row>
    <row r="451" spans="1:20" ht="10.5" customHeight="1">
      <c r="A451" s="297" t="s">
        <v>2291</v>
      </c>
      <c r="B451" s="297" t="s">
        <v>3404</v>
      </c>
      <c r="C451" s="297" t="s">
        <v>2543</v>
      </c>
      <c r="D451" s="297" t="s">
        <v>2150</v>
      </c>
      <c r="E451" s="297" t="s">
        <v>1353</v>
      </c>
      <c r="F451" s="297" t="s">
        <v>3060</v>
      </c>
      <c r="G451" s="297"/>
      <c r="H451" s="297" t="s">
        <v>3400</v>
      </c>
      <c r="I451" s="297" t="s">
        <v>3373</v>
      </c>
      <c r="J451" s="45" t="str">
        <f t="shared" si="12"/>
        <v>TinXiHai - Liuzhou China Tin Group Co ltd</v>
      </c>
      <c r="K451" s="45" t="str">
        <f t="shared" si="13"/>
        <v>TinXiHai - Liuzhou China Tin Group Co ltd</v>
      </c>
      <c r="T451"/>
    </row>
    <row r="452" spans="1:20" ht="10.5" customHeight="1">
      <c r="A452" s="297" t="s">
        <v>2291</v>
      </c>
      <c r="B452" s="297" t="s">
        <v>1908</v>
      </c>
      <c r="C452" s="297" t="s">
        <v>4621</v>
      </c>
      <c r="D452" s="297" t="s">
        <v>2150</v>
      </c>
      <c r="E452" s="297" t="s">
        <v>1383</v>
      </c>
      <c r="F452" s="297" t="s">
        <v>3060</v>
      </c>
      <c r="G452" s="297"/>
      <c r="H452" s="297" t="s">
        <v>4910</v>
      </c>
      <c r="I452" s="297" t="s">
        <v>3096</v>
      </c>
      <c r="J452" s="45" t="str">
        <f t="shared" si="12"/>
        <v>TinYTCL</v>
      </c>
      <c r="K452" s="45" t="str">
        <f t="shared" si="13"/>
        <v>TinYTCL</v>
      </c>
      <c r="T452"/>
    </row>
    <row r="453" spans="1:20" ht="10.5" customHeight="1">
      <c r="A453" s="297" t="s">
        <v>2291</v>
      </c>
      <c r="B453" s="297" t="s">
        <v>3438</v>
      </c>
      <c r="C453" s="297" t="s">
        <v>3435</v>
      </c>
      <c r="D453" s="297" t="s">
        <v>2150</v>
      </c>
      <c r="E453" s="297" t="s">
        <v>3436</v>
      </c>
      <c r="F453" s="297" t="s">
        <v>3060</v>
      </c>
      <c r="G453" s="297"/>
      <c r="H453" s="297" t="s">
        <v>4910</v>
      </c>
      <c r="I453" s="297" t="s">
        <v>3096</v>
      </c>
      <c r="J453" s="45" t="str">
        <f t="shared" si="12"/>
        <v>TinYunan Gejiu Yunxin Electrolyze Limited</v>
      </c>
      <c r="K453" s="45" t="str">
        <f t="shared" si="13"/>
        <v>TinYunan Gejiu Yunxin Electrolyze Limited</v>
      </c>
      <c r="T453"/>
    </row>
    <row r="454" spans="1:20" ht="10.5" customHeight="1">
      <c r="A454" s="297" t="s">
        <v>2291</v>
      </c>
      <c r="B454" s="297" t="s">
        <v>3444</v>
      </c>
      <c r="C454" s="297" t="s">
        <v>4069</v>
      </c>
      <c r="D454" s="297" t="s">
        <v>2150</v>
      </c>
      <c r="E454" s="297" t="s">
        <v>1382</v>
      </c>
      <c r="F454" s="297" t="s">
        <v>3060</v>
      </c>
      <c r="G454" s="297"/>
      <c r="H454" s="297" t="s">
        <v>4910</v>
      </c>
      <c r="I454" s="297" t="s">
        <v>3096</v>
      </c>
      <c r="J454" s="45" t="str">
        <f t="shared" si="12"/>
        <v>TinYunnan Adventure Co., Ltd.</v>
      </c>
      <c r="K454" s="45" t="str">
        <f t="shared" si="13"/>
        <v>TinYunnan Adventure Co., Ltd.</v>
      </c>
      <c r="T454"/>
    </row>
    <row r="455" spans="1:20" ht="10.5" customHeight="1">
      <c r="A455" s="297" t="s">
        <v>2291</v>
      </c>
      <c r="B455" s="297" t="s">
        <v>4200</v>
      </c>
      <c r="C455" s="297" t="s">
        <v>4069</v>
      </c>
      <c r="D455" s="297" t="s">
        <v>2150</v>
      </c>
      <c r="E455" s="297" t="s">
        <v>1382</v>
      </c>
      <c r="F455" s="297" t="s">
        <v>3060</v>
      </c>
      <c r="G455" s="297"/>
      <c r="H455" s="297" t="s">
        <v>4910</v>
      </c>
      <c r="I455" s="297" t="s">
        <v>3096</v>
      </c>
      <c r="J455" s="45" t="str">
        <f t="shared" si="12"/>
        <v>TinYunnan Chengfeng</v>
      </c>
      <c r="K455" s="45" t="str">
        <f t="shared" si="13"/>
        <v>TinYunnan Chengfeng</v>
      </c>
      <c r="T455"/>
    </row>
    <row r="456" spans="1:20" ht="10.5" customHeight="1">
      <c r="A456" s="297" t="s">
        <v>2291</v>
      </c>
      <c r="B456" s="297" t="s">
        <v>4069</v>
      </c>
      <c r="C456" s="297" t="s">
        <v>4069</v>
      </c>
      <c r="D456" s="297" t="s">
        <v>2150</v>
      </c>
      <c r="E456" s="297" t="s">
        <v>1382</v>
      </c>
      <c r="F456" s="297" t="s">
        <v>3060</v>
      </c>
      <c r="G456" s="297"/>
      <c r="H456" s="297" t="s">
        <v>4910</v>
      </c>
      <c r="I456" s="297" t="s">
        <v>3096</v>
      </c>
      <c r="J456" s="45" t="str">
        <f t="shared" si="12"/>
        <v>TinYunnan Chengfeng Non-ferrous Metals Co., Ltd.</v>
      </c>
      <c r="K456" s="45" t="str">
        <f t="shared" si="13"/>
        <v>TinYunnan Chengfeng Non-ferrous Metals Co., Ltd.</v>
      </c>
      <c r="T456"/>
    </row>
    <row r="457" spans="1:20" ht="10.5" customHeight="1">
      <c r="A457" s="297" t="s">
        <v>2291</v>
      </c>
      <c r="B457" s="297" t="s">
        <v>4991</v>
      </c>
      <c r="C457" s="297" t="s">
        <v>3397</v>
      </c>
      <c r="D457" s="297" t="s">
        <v>2150</v>
      </c>
      <c r="E457" s="297" t="s">
        <v>1350</v>
      </c>
      <c r="F457" s="297" t="s">
        <v>3060</v>
      </c>
      <c r="G457" s="297"/>
      <c r="H457" s="297" t="s">
        <v>4910</v>
      </c>
      <c r="I457" s="297" t="s">
        <v>3096</v>
      </c>
      <c r="J457" s="45" t="str">
        <f t="shared" si="12"/>
        <v>TinYunnan Gejiu Zili Metallurgy Co., Ltd.</v>
      </c>
      <c r="K457" s="45" t="str">
        <f t="shared" si="13"/>
        <v>TinYunnan Gejiu Zili Metallurgy Co., Ltd.</v>
      </c>
      <c r="T457"/>
    </row>
    <row r="458" spans="1:20" ht="10.5" customHeight="1">
      <c r="A458" s="297" t="s">
        <v>2291</v>
      </c>
      <c r="B458" s="297" t="s">
        <v>4612</v>
      </c>
      <c r="C458" s="297" t="s">
        <v>3435</v>
      </c>
      <c r="D458" s="297" t="s">
        <v>2150</v>
      </c>
      <c r="E458" s="297" t="s">
        <v>3436</v>
      </c>
      <c r="F458" s="297" t="s">
        <v>3060</v>
      </c>
      <c r="G458" s="297"/>
      <c r="H458" s="297" t="s">
        <v>4910</v>
      </c>
      <c r="I458" s="297" t="s">
        <v>3096</v>
      </c>
      <c r="J458" s="45" t="str">
        <f t="shared" ref="J458:J523" si="14">A458&amp;B458</f>
        <v>TinYunNan Gejiu Yunxin Electrolyze Limited</v>
      </c>
      <c r="K458" s="45" t="str">
        <f t="shared" ref="K458:K523" si="15">A458&amp;B458</f>
        <v>TinYunNan Gejiu Yunxin Electrolyze Limited</v>
      </c>
      <c r="T458"/>
    </row>
    <row r="459" spans="1:20" ht="10.5" customHeight="1">
      <c r="A459" s="297" t="s">
        <v>2291</v>
      </c>
      <c r="B459" s="297" t="s">
        <v>4621</v>
      </c>
      <c r="C459" s="297" t="s">
        <v>4621</v>
      </c>
      <c r="D459" s="297" t="s">
        <v>2150</v>
      </c>
      <c r="E459" s="297" t="s">
        <v>1383</v>
      </c>
      <c r="F459" s="297" t="s">
        <v>3060</v>
      </c>
      <c r="G459" s="297"/>
      <c r="H459" s="297" t="s">
        <v>4910</v>
      </c>
      <c r="I459" s="297" t="s">
        <v>3096</v>
      </c>
      <c r="J459" s="45" t="str">
        <f t="shared" si="14"/>
        <v>TinYunnan Tin Company Limited</v>
      </c>
      <c r="K459" s="45" t="str">
        <f t="shared" si="15"/>
        <v>TinYunnan Tin Company Limited</v>
      </c>
      <c r="T459"/>
    </row>
    <row r="460" spans="1:20" ht="10.5" customHeight="1">
      <c r="A460" s="297" t="s">
        <v>2291</v>
      </c>
      <c r="B460" s="297" t="s">
        <v>68</v>
      </c>
      <c r="C460" s="297" t="s">
        <v>4621</v>
      </c>
      <c r="D460" s="297" t="s">
        <v>2150</v>
      </c>
      <c r="E460" s="297" t="s">
        <v>1383</v>
      </c>
      <c r="F460" s="297" t="s">
        <v>3060</v>
      </c>
      <c r="G460" s="297"/>
      <c r="H460" s="297" t="s">
        <v>4910</v>
      </c>
      <c r="I460" s="297" t="s">
        <v>3096</v>
      </c>
      <c r="J460" s="45" t="str">
        <f t="shared" si="14"/>
        <v>TinYunnan Tin Company, Ltd.</v>
      </c>
      <c r="K460" s="45" t="str">
        <f t="shared" si="15"/>
        <v>TinYunnan Tin Company, Ltd.</v>
      </c>
      <c r="T460"/>
    </row>
    <row r="461" spans="1:20" ht="10.5" customHeight="1">
      <c r="A461" s="297" t="s">
        <v>2291</v>
      </c>
      <c r="B461" s="297" t="s">
        <v>3445</v>
      </c>
      <c r="C461" s="297" t="s">
        <v>4069</v>
      </c>
      <c r="D461" s="297" t="s">
        <v>2150</v>
      </c>
      <c r="E461" s="297" t="s">
        <v>1382</v>
      </c>
      <c r="F461" s="297" t="s">
        <v>3060</v>
      </c>
      <c r="G461" s="297"/>
      <c r="H461" s="297" t="s">
        <v>4910</v>
      </c>
      <c r="I461" s="297" t="s">
        <v>3096</v>
      </c>
      <c r="J461" s="45" t="str">
        <f t="shared" si="14"/>
        <v>TinYunnan wind Nonferrous Metals Co., Ltd.</v>
      </c>
      <c r="K461" s="45" t="str">
        <f t="shared" si="15"/>
        <v>TinYunnan wind Nonferrous Metals Co., Ltd.</v>
      </c>
      <c r="T461"/>
    </row>
    <row r="462" spans="1:20" ht="10.5" customHeight="1">
      <c r="A462" s="297" t="s">
        <v>2291</v>
      </c>
      <c r="B462" s="297" t="s">
        <v>61</v>
      </c>
      <c r="C462" s="297" t="s">
        <v>4621</v>
      </c>
      <c r="D462" s="297" t="s">
        <v>2150</v>
      </c>
      <c r="E462" s="297" t="s">
        <v>1383</v>
      </c>
      <c r="F462" s="297" t="s">
        <v>3060</v>
      </c>
      <c r="G462" s="297"/>
      <c r="H462" s="297" t="s">
        <v>4910</v>
      </c>
      <c r="I462" s="297" t="s">
        <v>3096</v>
      </c>
      <c r="J462" s="45" t="str">
        <f t="shared" si="14"/>
        <v>TinYuntinic Resources</v>
      </c>
      <c r="K462" s="45" t="str">
        <f t="shared" si="15"/>
        <v>TinYuntinic Resources</v>
      </c>
      <c r="T462"/>
    </row>
    <row r="463" spans="1:20" ht="10.5" customHeight="1">
      <c r="A463" s="297" t="s">
        <v>2291</v>
      </c>
      <c r="B463" s="297" t="s">
        <v>4613</v>
      </c>
      <c r="C463" s="297" t="s">
        <v>3435</v>
      </c>
      <c r="D463" s="297" t="s">
        <v>2150</v>
      </c>
      <c r="E463" s="297" t="s">
        <v>3436</v>
      </c>
      <c r="F463" s="297" t="s">
        <v>3060</v>
      </c>
      <c r="G463" s="297"/>
      <c r="H463" s="297" t="s">
        <v>4910</v>
      </c>
      <c r="I463" s="297" t="s">
        <v>3096</v>
      </c>
      <c r="J463" s="45" t="str">
        <f t="shared" si="14"/>
        <v>TinYUNXIN colored electrolysis Company Limited</v>
      </c>
      <c r="K463" s="45" t="str">
        <f t="shared" si="15"/>
        <v>TinYUNXIN colored electrolysis Company Limited</v>
      </c>
      <c r="T463"/>
    </row>
    <row r="464" spans="1:20" ht="10.5" customHeight="1">
      <c r="A464" s="243" t="s">
        <v>2291</v>
      </c>
      <c r="B464" s="243" t="s">
        <v>3517</v>
      </c>
      <c r="C464" s="243"/>
      <c r="D464" s="243"/>
      <c r="E464" s="243"/>
      <c r="F464" s="243"/>
      <c r="G464" s="243"/>
      <c r="H464" s="243"/>
      <c r="I464" s="243"/>
      <c r="J464" s="45" t="str">
        <f t="shared" si="14"/>
        <v>TinSmelter not listed</v>
      </c>
      <c r="K464" s="45" t="str">
        <f t="shared" si="15"/>
        <v>TinSmelter not listed</v>
      </c>
    </row>
    <row r="465" spans="1:20" ht="10.5" customHeight="1">
      <c r="A465" s="243" t="s">
        <v>2291</v>
      </c>
      <c r="B465" s="243" t="s">
        <v>2538</v>
      </c>
      <c r="C465" s="243" t="s">
        <v>906</v>
      </c>
      <c r="D465" s="243" t="s">
        <v>906</v>
      </c>
      <c r="E465" s="243"/>
      <c r="F465" s="243"/>
      <c r="G465" s="243"/>
      <c r="H465" s="243"/>
      <c r="I465" s="243"/>
      <c r="J465" s="45" t="str">
        <f t="shared" si="14"/>
        <v>TinSmelter not yet identified</v>
      </c>
      <c r="K465" s="45" t="str">
        <f t="shared" si="15"/>
        <v>TinSmelter not yet identified</v>
      </c>
    </row>
    <row r="466" spans="1:20" ht="10.5" customHeight="1">
      <c r="A466" s="297" t="s">
        <v>2293</v>
      </c>
      <c r="B466" s="297" t="s">
        <v>3474</v>
      </c>
      <c r="C466" s="297" t="s">
        <v>3474</v>
      </c>
      <c r="D466" s="297" t="s">
        <v>2217</v>
      </c>
      <c r="E466" s="297" t="s">
        <v>1384</v>
      </c>
      <c r="F466" s="297" t="s">
        <v>3060</v>
      </c>
      <c r="G466" s="297"/>
      <c r="H466" s="297" t="s">
        <v>4025</v>
      </c>
      <c r="I466" s="297" t="s">
        <v>4026</v>
      </c>
      <c r="J466" s="45" t="str">
        <f t="shared" si="14"/>
        <v>TungstenA.L.M.T. TUNGSTEN Corp.</v>
      </c>
      <c r="K466" s="45" t="str">
        <f t="shared" si="15"/>
        <v>TungstenA.L.M.T. TUNGSTEN Corp.</v>
      </c>
      <c r="T466"/>
    </row>
    <row r="467" spans="1:20" ht="10.5" customHeight="1">
      <c r="A467" s="297" t="s">
        <v>2293</v>
      </c>
      <c r="B467" s="297" t="s">
        <v>4248</v>
      </c>
      <c r="C467" s="297" t="s">
        <v>4248</v>
      </c>
      <c r="D467" s="297" t="s">
        <v>2139</v>
      </c>
      <c r="E467" s="297" t="s">
        <v>4249</v>
      </c>
      <c r="F467" s="297" t="s">
        <v>3060</v>
      </c>
      <c r="G467" s="297"/>
      <c r="H467" s="297" t="s">
        <v>4250</v>
      </c>
      <c r="I467" s="297" t="s">
        <v>3248</v>
      </c>
      <c r="J467" s="45" t="str">
        <f t="shared" si="14"/>
        <v>TungstenACL Metais Eireli</v>
      </c>
      <c r="K467" s="45" t="str">
        <f t="shared" si="15"/>
        <v>TungstenACL Metais Eireli</v>
      </c>
      <c r="T467"/>
    </row>
    <row r="468" spans="1:20" ht="10.5" customHeight="1">
      <c r="A468" s="297" t="s">
        <v>2293</v>
      </c>
      <c r="B468" s="297" t="s">
        <v>3475</v>
      </c>
      <c r="C468" s="297" t="s">
        <v>3474</v>
      </c>
      <c r="D468" s="297" t="s">
        <v>2217</v>
      </c>
      <c r="E468" s="297" t="s">
        <v>1384</v>
      </c>
      <c r="F468" s="297" t="s">
        <v>3060</v>
      </c>
      <c r="G468" s="297"/>
      <c r="H468" s="297" t="s">
        <v>4025</v>
      </c>
      <c r="I468" s="297" t="s">
        <v>4026</v>
      </c>
      <c r="J468" s="45" t="str">
        <f t="shared" si="14"/>
        <v>TungstenAllied Material Corporation</v>
      </c>
      <c r="K468" s="45" t="str">
        <f t="shared" si="15"/>
        <v>TungstenAllied Material Corporation</v>
      </c>
      <c r="T468"/>
    </row>
    <row r="469" spans="1:20" ht="10.5" customHeight="1">
      <c r="A469" s="297" t="s">
        <v>2293</v>
      </c>
      <c r="B469" s="297" t="s">
        <v>3476</v>
      </c>
      <c r="C469" s="297" t="s">
        <v>3474</v>
      </c>
      <c r="D469" s="297" t="s">
        <v>2217</v>
      </c>
      <c r="E469" s="297" t="s">
        <v>1384</v>
      </c>
      <c r="F469" s="297" t="s">
        <v>3060</v>
      </c>
      <c r="G469" s="297"/>
      <c r="H469" s="297" t="s">
        <v>4025</v>
      </c>
      <c r="I469" s="297" t="s">
        <v>4026</v>
      </c>
      <c r="J469" s="45" t="str">
        <f t="shared" si="14"/>
        <v>TungstenALMT Corp</v>
      </c>
      <c r="K469" s="45" t="str">
        <f t="shared" si="15"/>
        <v>TungstenALMT Corp</v>
      </c>
      <c r="T469"/>
    </row>
    <row r="470" spans="1:20" ht="10.5" customHeight="1">
      <c r="A470" s="297" t="s">
        <v>2293</v>
      </c>
      <c r="B470" s="297" t="s">
        <v>4201</v>
      </c>
      <c r="C470" s="297" t="s">
        <v>3474</v>
      </c>
      <c r="D470" s="297" t="s">
        <v>2217</v>
      </c>
      <c r="E470" s="297" t="s">
        <v>1384</v>
      </c>
      <c r="F470" s="297" t="s">
        <v>3060</v>
      </c>
      <c r="G470" s="297"/>
      <c r="H470" s="297" t="s">
        <v>4025</v>
      </c>
      <c r="I470" s="297" t="s">
        <v>4026</v>
      </c>
      <c r="J470" s="45" t="str">
        <f t="shared" si="14"/>
        <v>TungstenALMT Sumitomo Group</v>
      </c>
      <c r="K470" s="45" t="str">
        <f t="shared" si="15"/>
        <v>TungstenALMT Sumitomo Group</v>
      </c>
      <c r="T470"/>
    </row>
    <row r="471" spans="1:20" ht="10.5" customHeight="1">
      <c r="A471" s="297" t="s">
        <v>2293</v>
      </c>
      <c r="B471" s="297" t="s">
        <v>2667</v>
      </c>
      <c r="C471" s="297" t="s">
        <v>2667</v>
      </c>
      <c r="D471" s="297" t="s">
        <v>1737</v>
      </c>
      <c r="E471" s="297" t="s">
        <v>2668</v>
      </c>
      <c r="F471" s="297" t="s">
        <v>3060</v>
      </c>
      <c r="G471" s="297"/>
      <c r="H471" s="297" t="s">
        <v>3499</v>
      </c>
      <c r="I471" s="297" t="s">
        <v>3500</v>
      </c>
      <c r="J471" s="45" t="str">
        <f t="shared" si="14"/>
        <v>TungstenAsia Tungsten Products Vietnam Ltd.</v>
      </c>
      <c r="K471" s="45" t="str">
        <f t="shared" si="15"/>
        <v>TungstenAsia Tungsten Products Vietnam Ltd.</v>
      </c>
      <c r="T471"/>
    </row>
    <row r="472" spans="1:20" ht="10.5" customHeight="1">
      <c r="A472" s="297" t="s">
        <v>2293</v>
      </c>
      <c r="B472" s="297" t="s">
        <v>4202</v>
      </c>
      <c r="C472" s="297" t="s">
        <v>206</v>
      </c>
      <c r="D472" s="297" t="s">
        <v>4880</v>
      </c>
      <c r="E472" s="297" t="s">
        <v>1385</v>
      </c>
      <c r="F472" s="297" t="s">
        <v>3060</v>
      </c>
      <c r="G472" s="297"/>
      <c r="H472" s="297" t="s">
        <v>3477</v>
      </c>
      <c r="I472" s="297" t="s">
        <v>3478</v>
      </c>
      <c r="J472" s="45" t="str">
        <f t="shared" si="14"/>
        <v>TungstenATI Metalworking Products</v>
      </c>
      <c r="K472" s="45" t="str">
        <f t="shared" si="15"/>
        <v>TungstenATI Metalworking Products</v>
      </c>
      <c r="T472"/>
    </row>
    <row r="473" spans="1:20" ht="10.5" customHeight="1">
      <c r="A473" s="297" t="s">
        <v>2293</v>
      </c>
      <c r="B473" s="297" t="s">
        <v>2342</v>
      </c>
      <c r="C473" s="297" t="s">
        <v>206</v>
      </c>
      <c r="D473" s="297" t="s">
        <v>4880</v>
      </c>
      <c r="E473" s="297" t="s">
        <v>1385</v>
      </c>
      <c r="F473" s="297" t="s">
        <v>3060</v>
      </c>
      <c r="G473" s="297"/>
      <c r="H473" s="297" t="s">
        <v>3477</v>
      </c>
      <c r="I473" s="297" t="s">
        <v>3478</v>
      </c>
      <c r="J473" s="45" t="str">
        <f t="shared" si="14"/>
        <v>TungstenATI Tungsten Materials</v>
      </c>
      <c r="K473" s="45" t="str">
        <f t="shared" si="15"/>
        <v>TungstenATI Tungsten Materials</v>
      </c>
      <c r="T473"/>
    </row>
    <row r="474" spans="1:20" ht="10.5" customHeight="1">
      <c r="A474" s="297" t="s">
        <v>2293</v>
      </c>
      <c r="B474" s="297" t="s">
        <v>4208</v>
      </c>
      <c r="C474" s="297" t="s">
        <v>2624</v>
      </c>
      <c r="D474" s="297" t="s">
        <v>2150</v>
      </c>
      <c r="E474" s="297" t="s">
        <v>1386</v>
      </c>
      <c r="F474" s="297" t="s">
        <v>3060</v>
      </c>
      <c r="G474" s="297"/>
      <c r="H474" s="297" t="s">
        <v>3479</v>
      </c>
      <c r="I474" s="297" t="s">
        <v>3270</v>
      </c>
      <c r="J474" s="45" t="str">
        <f t="shared" si="14"/>
        <v>TungstenChaozhou Xianglu Tungsten Industry Co., Ltd.</v>
      </c>
      <c r="K474" s="45" t="str">
        <f t="shared" si="15"/>
        <v>TungstenChaozhou Xianglu Tungsten Industry Co., Ltd.</v>
      </c>
      <c r="T474"/>
    </row>
    <row r="475" spans="1:20" ht="10.5" customHeight="1">
      <c r="A475" s="297" t="s">
        <v>2293</v>
      </c>
      <c r="B475" s="297" t="s">
        <v>2669</v>
      </c>
      <c r="C475" s="297" t="s">
        <v>2669</v>
      </c>
      <c r="D475" s="297" t="s">
        <v>2150</v>
      </c>
      <c r="E475" s="297" t="s">
        <v>2670</v>
      </c>
      <c r="F475" s="297" t="s">
        <v>3060</v>
      </c>
      <c r="G475" s="297"/>
      <c r="H475" s="297" t="s">
        <v>3399</v>
      </c>
      <c r="I475" s="297" t="s">
        <v>3121</v>
      </c>
      <c r="J475" s="45" t="str">
        <f t="shared" si="14"/>
        <v>TungstenChenzhou Diamond Tungsten Products Co., Ltd.</v>
      </c>
      <c r="K475" s="45" t="str">
        <f t="shared" si="15"/>
        <v>TungstenChenzhou Diamond Tungsten Products Co., Ltd.</v>
      </c>
      <c r="T475"/>
    </row>
    <row r="476" spans="1:20" ht="10.5" customHeight="1">
      <c r="A476" s="297" t="s">
        <v>2293</v>
      </c>
      <c r="B476" s="297" t="s">
        <v>3483</v>
      </c>
      <c r="C476" s="297" t="s">
        <v>207</v>
      </c>
      <c r="D476" s="297" t="s">
        <v>2150</v>
      </c>
      <c r="E476" s="297" t="s">
        <v>1394</v>
      </c>
      <c r="F476" s="297" t="s">
        <v>3060</v>
      </c>
      <c r="G476" s="297"/>
      <c r="H476" s="297" t="s">
        <v>3398</v>
      </c>
      <c r="I476" s="297" t="s">
        <v>3139</v>
      </c>
      <c r="J476" s="45" t="str">
        <f t="shared" si="14"/>
        <v>TungstenChina National Non Ferrous</v>
      </c>
      <c r="K476" s="45" t="str">
        <f t="shared" si="15"/>
        <v>TungstenChina National Non Ferrous</v>
      </c>
      <c r="T476"/>
    </row>
    <row r="477" spans="1:20" ht="10.5" customHeight="1">
      <c r="A477" s="297" t="s">
        <v>2293</v>
      </c>
      <c r="B477" s="297" t="s">
        <v>2623</v>
      </c>
      <c r="C477" s="297" t="s">
        <v>2623</v>
      </c>
      <c r="D477" s="297" t="s">
        <v>2150</v>
      </c>
      <c r="E477" s="297" t="s">
        <v>1387</v>
      </c>
      <c r="F477" s="297" t="s">
        <v>3060</v>
      </c>
      <c r="G477" s="297"/>
      <c r="H477" s="297" t="s">
        <v>3398</v>
      </c>
      <c r="I477" s="297" t="s">
        <v>3139</v>
      </c>
      <c r="J477" s="45" t="str">
        <f t="shared" si="14"/>
        <v>TungstenChongyi Zhangyuan Tungsten Co., Ltd.</v>
      </c>
      <c r="K477" s="45" t="str">
        <f t="shared" si="15"/>
        <v>TungstenChongyi Zhangyuan Tungsten Co., Ltd.</v>
      </c>
      <c r="T477"/>
    </row>
    <row r="478" spans="1:20" ht="10.5" customHeight="1">
      <c r="A478" s="297" t="s">
        <v>2293</v>
      </c>
      <c r="B478" s="297" t="s">
        <v>2671</v>
      </c>
      <c r="C478" s="297" t="s">
        <v>2671</v>
      </c>
      <c r="D478" s="297" t="s">
        <v>2150</v>
      </c>
      <c r="E478" s="297" t="s">
        <v>2672</v>
      </c>
      <c r="F478" s="297" t="s">
        <v>3060</v>
      </c>
      <c r="G478" s="297"/>
      <c r="H478" s="297" t="s">
        <v>3501</v>
      </c>
      <c r="I478" s="297" t="s">
        <v>3139</v>
      </c>
      <c r="J478" s="45" t="str">
        <f t="shared" si="14"/>
        <v>TungstenDayu Jincheng Tungsten Industry Co., Ltd.</v>
      </c>
      <c r="K478" s="45" t="str">
        <f t="shared" si="15"/>
        <v>TungstenDayu Jincheng Tungsten Industry Co., Ltd.</v>
      </c>
      <c r="T478"/>
    </row>
    <row r="479" spans="1:20" ht="10.5" customHeight="1">
      <c r="A479" s="297" t="s">
        <v>2293</v>
      </c>
      <c r="B479" s="297" t="s">
        <v>1437</v>
      </c>
      <c r="C479" s="297" t="s">
        <v>1437</v>
      </c>
      <c r="D479" s="297" t="s">
        <v>2150</v>
      </c>
      <c r="E479" s="297" t="s">
        <v>1388</v>
      </c>
      <c r="F479" s="297" t="s">
        <v>3060</v>
      </c>
      <c r="G479" s="297"/>
      <c r="H479" s="297" t="s">
        <v>3398</v>
      </c>
      <c r="I479" s="297" t="s">
        <v>3139</v>
      </c>
      <c r="J479" s="45" t="str">
        <f t="shared" si="14"/>
        <v>TungstenDayu Weiliang Tungsten Co., Ltd.</v>
      </c>
      <c r="K479" s="45" t="str">
        <f t="shared" si="15"/>
        <v>TungstenDayu Weiliang Tungsten Co., Ltd.</v>
      </c>
      <c r="T479"/>
    </row>
    <row r="480" spans="1:20" ht="10.5" customHeight="1">
      <c r="A480" s="297" t="s">
        <v>2293</v>
      </c>
      <c r="B480" s="297" t="s">
        <v>1438</v>
      </c>
      <c r="C480" s="297" t="s">
        <v>1438</v>
      </c>
      <c r="D480" s="297" t="s">
        <v>2150</v>
      </c>
      <c r="E480" s="297" t="s">
        <v>1389</v>
      </c>
      <c r="F480" s="297" t="s">
        <v>3060</v>
      </c>
      <c r="G480" s="297"/>
      <c r="H480" s="297" t="s">
        <v>3481</v>
      </c>
      <c r="I480" s="297" t="s">
        <v>3267</v>
      </c>
      <c r="J480" s="45" t="str">
        <f t="shared" si="14"/>
        <v>TungstenFujian Jinxin Tungsten Co., Ltd.</v>
      </c>
      <c r="K480" s="45" t="str">
        <f t="shared" si="15"/>
        <v>TungstenFujian Jinxin Tungsten Co., Ltd.</v>
      </c>
      <c r="T480"/>
    </row>
    <row r="481" spans="1:20" ht="10.5" customHeight="1">
      <c r="A481" s="297" t="s">
        <v>2293</v>
      </c>
      <c r="B481" s="297" t="s">
        <v>207</v>
      </c>
      <c r="C481" s="297" t="s">
        <v>207</v>
      </c>
      <c r="D481" s="297" t="s">
        <v>2150</v>
      </c>
      <c r="E481" s="297" t="s">
        <v>1394</v>
      </c>
      <c r="F481" s="297" t="s">
        <v>3060</v>
      </c>
      <c r="G481" s="297"/>
      <c r="H481" s="297" t="s">
        <v>3398</v>
      </c>
      <c r="I481" s="297" t="s">
        <v>3139</v>
      </c>
      <c r="J481" s="45" t="str">
        <f t="shared" si="14"/>
        <v>TungstenGanzhou Huaxing Tungsten Products Co., Ltd.</v>
      </c>
      <c r="K481" s="45" t="str">
        <f t="shared" si="15"/>
        <v>TungstenGanzhou Huaxing Tungsten Products Co., Ltd.</v>
      </c>
      <c r="T481"/>
    </row>
    <row r="482" spans="1:20" ht="10.5" customHeight="1">
      <c r="A482" s="297" t="s">
        <v>2293</v>
      </c>
      <c r="B482" s="297" t="s">
        <v>209</v>
      </c>
      <c r="C482" s="297" t="s">
        <v>209</v>
      </c>
      <c r="D482" s="297" t="s">
        <v>2150</v>
      </c>
      <c r="E482" s="297" t="s">
        <v>198</v>
      </c>
      <c r="F482" s="297" t="s">
        <v>3060</v>
      </c>
      <c r="G482" s="297"/>
      <c r="H482" s="297" t="s">
        <v>3398</v>
      </c>
      <c r="I482" s="297" t="s">
        <v>3139</v>
      </c>
      <c r="J482" s="45" t="str">
        <f t="shared" si="14"/>
        <v>TungstenGanzhou Jiangwu Ferrotungsten Co., Ltd.</v>
      </c>
      <c r="K482" s="45" t="str">
        <f t="shared" si="15"/>
        <v>TungstenGanzhou Jiangwu Ferrotungsten Co., Ltd.</v>
      </c>
      <c r="T482"/>
    </row>
    <row r="483" spans="1:20" ht="10.5" customHeight="1">
      <c r="A483" s="297" t="s">
        <v>2293</v>
      </c>
      <c r="B483" s="297" t="s">
        <v>709</v>
      </c>
      <c r="C483" s="297" t="s">
        <v>709</v>
      </c>
      <c r="D483" s="297" t="s">
        <v>2150</v>
      </c>
      <c r="E483" s="297" t="s">
        <v>710</v>
      </c>
      <c r="F483" s="297" t="s">
        <v>3060</v>
      </c>
      <c r="G483" s="297"/>
      <c r="H483" s="297" t="s">
        <v>3398</v>
      </c>
      <c r="I483" s="297" t="s">
        <v>3139</v>
      </c>
      <c r="J483" s="45" t="str">
        <f t="shared" si="14"/>
        <v>TungstenGanzhou Seadragon W &amp; Mo Co., Ltd.</v>
      </c>
      <c r="K483" s="45" t="str">
        <f t="shared" si="15"/>
        <v>TungstenGanzhou Seadragon W &amp; Mo Co., Ltd.</v>
      </c>
      <c r="T483"/>
    </row>
    <row r="484" spans="1:20" ht="10.5" customHeight="1">
      <c r="A484" s="297" t="s">
        <v>2293</v>
      </c>
      <c r="B484" s="297" t="s">
        <v>2673</v>
      </c>
      <c r="C484" s="297" t="s">
        <v>2673</v>
      </c>
      <c r="D484" s="297" t="s">
        <v>2150</v>
      </c>
      <c r="E484" s="297" t="s">
        <v>2674</v>
      </c>
      <c r="F484" s="297" t="s">
        <v>3060</v>
      </c>
      <c r="G484" s="297"/>
      <c r="H484" s="297" t="s">
        <v>3398</v>
      </c>
      <c r="I484" s="297" t="s">
        <v>3139</v>
      </c>
      <c r="J484" s="45" t="str">
        <f t="shared" si="14"/>
        <v>TungstenGanzhou Yatai Tungsten Co., Ltd.</v>
      </c>
      <c r="K484" s="45" t="str">
        <f t="shared" si="15"/>
        <v>TungstenGanzhou Yatai Tungsten Co., Ltd.</v>
      </c>
      <c r="T484"/>
    </row>
    <row r="485" spans="1:20" ht="10.5" customHeight="1">
      <c r="A485" s="297" t="s">
        <v>2293</v>
      </c>
      <c r="B485" s="297" t="s">
        <v>1</v>
      </c>
      <c r="C485" s="297" t="s">
        <v>1</v>
      </c>
      <c r="D485" s="297" t="s">
        <v>4880</v>
      </c>
      <c r="E485" s="297" t="s">
        <v>1390</v>
      </c>
      <c r="F485" s="297" t="s">
        <v>3060</v>
      </c>
      <c r="G485" s="297"/>
      <c r="H485" s="297" t="s">
        <v>3482</v>
      </c>
      <c r="I485" s="297" t="s">
        <v>3332</v>
      </c>
      <c r="J485" s="45" t="str">
        <f t="shared" si="14"/>
        <v>TungstenGlobal Tungsten &amp; Powders Corp.</v>
      </c>
      <c r="K485" s="45" t="str">
        <f t="shared" si="15"/>
        <v>TungstenGlobal Tungsten &amp; Powders Corp.</v>
      </c>
      <c r="T485"/>
    </row>
    <row r="486" spans="1:20" ht="10.5" customHeight="1">
      <c r="A486" s="297" t="s">
        <v>2293</v>
      </c>
      <c r="B486" s="297" t="s">
        <v>1909</v>
      </c>
      <c r="C486" s="297" t="s">
        <v>1</v>
      </c>
      <c r="D486" s="297" t="s">
        <v>4880</v>
      </c>
      <c r="E486" s="297" t="s">
        <v>1390</v>
      </c>
      <c r="F486" s="297" t="s">
        <v>3060</v>
      </c>
      <c r="G486" s="297"/>
      <c r="H486" s="297" t="s">
        <v>3482</v>
      </c>
      <c r="I486" s="297" t="s">
        <v>3332</v>
      </c>
      <c r="J486" s="45" t="str">
        <f t="shared" si="14"/>
        <v>TungstenGTP</v>
      </c>
      <c r="K486" s="45" t="str">
        <f t="shared" si="15"/>
        <v>TungstenGTP</v>
      </c>
      <c r="T486"/>
    </row>
    <row r="487" spans="1:20" ht="10.5" customHeight="1">
      <c r="A487" s="297" t="s">
        <v>2293</v>
      </c>
      <c r="B487" s="297" t="s">
        <v>2624</v>
      </c>
      <c r="C487" s="297" t="s">
        <v>2624</v>
      </c>
      <c r="D487" s="297" t="s">
        <v>2150</v>
      </c>
      <c r="E487" s="297" t="s">
        <v>1386</v>
      </c>
      <c r="F487" s="297" t="s">
        <v>3060</v>
      </c>
      <c r="G487" s="297"/>
      <c r="H487" s="297" t="s">
        <v>3479</v>
      </c>
      <c r="I487" s="297" t="s">
        <v>3270</v>
      </c>
      <c r="J487" s="45" t="str">
        <f t="shared" si="14"/>
        <v>TungstenGuangdong Xianglu Tungsten Co., Ltd.</v>
      </c>
      <c r="K487" s="45" t="str">
        <f t="shared" si="15"/>
        <v>TungstenGuangdong Xianglu Tungsten Co., Ltd.</v>
      </c>
      <c r="T487"/>
    </row>
    <row r="488" spans="1:20" ht="10.5" customHeight="1">
      <c r="A488" s="297" t="s">
        <v>2293</v>
      </c>
      <c r="B488" s="297" t="s">
        <v>2706</v>
      </c>
      <c r="C488" s="297" t="s">
        <v>2706</v>
      </c>
      <c r="D488" s="297" t="s">
        <v>2164</v>
      </c>
      <c r="E488" s="297" t="s">
        <v>2707</v>
      </c>
      <c r="F488" s="297" t="s">
        <v>3060</v>
      </c>
      <c r="G488" s="297"/>
      <c r="H488" s="297" t="s">
        <v>3349</v>
      </c>
      <c r="I488" s="297" t="s">
        <v>3350</v>
      </c>
      <c r="J488" s="45" t="str">
        <f t="shared" si="14"/>
        <v>TungstenH.C. Starck GmbH</v>
      </c>
      <c r="K488" s="45" t="str">
        <f t="shared" si="15"/>
        <v>TungstenH.C. Starck GmbH</v>
      </c>
      <c r="T488"/>
    </row>
    <row r="489" spans="1:20" ht="10.5" customHeight="1">
      <c r="A489" s="297" t="s">
        <v>2293</v>
      </c>
      <c r="B489" s="297" t="s">
        <v>2697</v>
      </c>
      <c r="C489" s="297" t="s">
        <v>2697</v>
      </c>
      <c r="D489" s="297" t="s">
        <v>2164</v>
      </c>
      <c r="E489" s="297" t="s">
        <v>2708</v>
      </c>
      <c r="F489" s="297" t="s">
        <v>3060</v>
      </c>
      <c r="G489" s="297"/>
      <c r="H489" s="297" t="s">
        <v>3351</v>
      </c>
      <c r="I489" s="297" t="s">
        <v>3066</v>
      </c>
      <c r="J489" s="45" t="str">
        <f t="shared" si="14"/>
        <v>TungstenH.C. Starck Smelting GmbH &amp; Co.KG</v>
      </c>
      <c r="K489" s="45" t="str">
        <f t="shared" si="15"/>
        <v>TungstenH.C. Starck Smelting GmbH &amp; Co.KG</v>
      </c>
      <c r="T489"/>
    </row>
    <row r="490" spans="1:20" ht="10.5" customHeight="1">
      <c r="A490" s="297" t="s">
        <v>2293</v>
      </c>
      <c r="B490" s="297" t="s">
        <v>4622</v>
      </c>
      <c r="C490" s="297" t="s">
        <v>2625</v>
      </c>
      <c r="D490" s="297" t="s">
        <v>2150</v>
      </c>
      <c r="E490" s="297" t="s">
        <v>1392</v>
      </c>
      <c r="F490" s="297" t="s">
        <v>3060</v>
      </c>
      <c r="G490" s="297"/>
      <c r="H490" s="297" t="s">
        <v>3338</v>
      </c>
      <c r="I490" s="297" t="s">
        <v>3121</v>
      </c>
      <c r="J490" s="45" t="str">
        <f t="shared" si="14"/>
        <v>TungstenHuman Chun-Chang non-ferrous Smelting &amp; Concentrating Co., Ltd.</v>
      </c>
      <c r="K490" s="45" t="str">
        <f t="shared" si="15"/>
        <v>TungstenHuman Chun-Chang non-ferrous Smelting &amp; Concentrating Co., Ltd.</v>
      </c>
      <c r="T490"/>
    </row>
    <row r="491" spans="1:20" ht="10.5" customHeight="1">
      <c r="A491" s="297" t="s">
        <v>2293</v>
      </c>
      <c r="B491" s="297" t="s">
        <v>4171</v>
      </c>
      <c r="C491" s="297" t="s">
        <v>4171</v>
      </c>
      <c r="D491" s="297" t="s">
        <v>2150</v>
      </c>
      <c r="E491" s="297" t="s">
        <v>1391</v>
      </c>
      <c r="F491" s="297" t="s">
        <v>3060</v>
      </c>
      <c r="G491" s="297"/>
      <c r="H491" s="297" t="s">
        <v>4027</v>
      </c>
      <c r="I491" s="297" t="s">
        <v>3121</v>
      </c>
      <c r="J491" s="45" t="str">
        <f t="shared" si="14"/>
        <v>TungstenHunan Chenzhou Mining Co., Ltd.</v>
      </c>
      <c r="K491" s="45" t="str">
        <f t="shared" si="15"/>
        <v>TungstenHunan Chenzhou Mining Co., Ltd.</v>
      </c>
      <c r="T491"/>
    </row>
    <row r="492" spans="1:20" ht="10.5" customHeight="1">
      <c r="A492" s="297" t="s">
        <v>2293</v>
      </c>
      <c r="B492" s="297" t="s">
        <v>2621</v>
      </c>
      <c r="C492" s="297" t="s">
        <v>4171</v>
      </c>
      <c r="D492" s="297" t="s">
        <v>2150</v>
      </c>
      <c r="E492" s="297" t="s">
        <v>1391</v>
      </c>
      <c r="F492" s="297" t="s">
        <v>3060</v>
      </c>
      <c r="G492" s="297"/>
      <c r="H492" s="297" t="s">
        <v>4027</v>
      </c>
      <c r="I492" s="297" t="s">
        <v>3121</v>
      </c>
      <c r="J492" s="45" t="str">
        <f t="shared" si="14"/>
        <v>TungstenHunan Chenzhou Mining Group Co., Ltd.</v>
      </c>
      <c r="K492" s="45" t="str">
        <f t="shared" si="15"/>
        <v>TungstenHunan Chenzhou Mining Group Co., Ltd.</v>
      </c>
      <c r="T492"/>
    </row>
    <row r="493" spans="1:20" ht="10.5" customHeight="1">
      <c r="A493" s="297" t="s">
        <v>2293</v>
      </c>
      <c r="B493" s="297" t="s">
        <v>3504</v>
      </c>
      <c r="C493" s="297" t="s">
        <v>3504</v>
      </c>
      <c r="D493" s="297" t="s">
        <v>2150</v>
      </c>
      <c r="E493" s="297" t="s">
        <v>3505</v>
      </c>
      <c r="F493" s="297" t="s">
        <v>3060</v>
      </c>
      <c r="G493" s="297"/>
      <c r="H493" s="297" t="s">
        <v>3338</v>
      </c>
      <c r="I493" s="297" t="s">
        <v>3121</v>
      </c>
      <c r="J493" s="45" t="str">
        <f t="shared" si="14"/>
        <v>TungstenHunan Chuangda Vanadium Tungsten Co., Ltd. Wuji</v>
      </c>
      <c r="K493" s="45" t="str">
        <f t="shared" si="15"/>
        <v>TungstenHunan Chuangda Vanadium Tungsten Co., Ltd. Wuji</v>
      </c>
      <c r="T493"/>
    </row>
    <row r="494" spans="1:20" ht="10.5" customHeight="1">
      <c r="A494" s="297" t="s">
        <v>2293</v>
      </c>
      <c r="B494" s="297" t="s">
        <v>2625</v>
      </c>
      <c r="C494" s="297" t="s">
        <v>2625</v>
      </c>
      <c r="D494" s="297" t="s">
        <v>2150</v>
      </c>
      <c r="E494" s="297" t="s">
        <v>1392</v>
      </c>
      <c r="F494" s="297" t="s">
        <v>3060</v>
      </c>
      <c r="G494" s="297"/>
      <c r="H494" s="297" t="s">
        <v>3338</v>
      </c>
      <c r="I494" s="297" t="s">
        <v>3121</v>
      </c>
      <c r="J494" s="45" t="str">
        <f t="shared" si="14"/>
        <v>TungstenHunan Chunchang Nonferrous Metals Co., Ltd.</v>
      </c>
      <c r="K494" s="45" t="str">
        <f t="shared" si="15"/>
        <v>TungstenHunan Chunchang Nonferrous Metals Co., Ltd.</v>
      </c>
      <c r="T494"/>
    </row>
    <row r="495" spans="1:20" ht="10.5" customHeight="1">
      <c r="A495" s="297" t="s">
        <v>2293</v>
      </c>
      <c r="B495" s="297" t="s">
        <v>3509</v>
      </c>
      <c r="C495" s="297" t="s">
        <v>3509</v>
      </c>
      <c r="D495" s="297" t="s">
        <v>1690</v>
      </c>
      <c r="E495" s="297" t="s">
        <v>3510</v>
      </c>
      <c r="F495" s="297" t="s">
        <v>3060</v>
      </c>
      <c r="G495" s="297"/>
      <c r="H495" s="297" t="s">
        <v>3511</v>
      </c>
      <c r="I495" s="297" t="s">
        <v>3512</v>
      </c>
      <c r="J495" s="45" t="str">
        <f t="shared" si="14"/>
        <v>TungstenHydrometallurg, JSC</v>
      </c>
      <c r="K495" s="45" t="str">
        <f t="shared" si="15"/>
        <v>TungstenHydrometallurg, JSC</v>
      </c>
      <c r="T495"/>
    </row>
    <row r="496" spans="1:20" ht="10.5" customHeight="1">
      <c r="A496" s="297" t="s">
        <v>2293</v>
      </c>
      <c r="B496" s="297" t="s">
        <v>2626</v>
      </c>
      <c r="C496" s="297" t="s">
        <v>2626</v>
      </c>
      <c r="D496" s="297" t="s">
        <v>2217</v>
      </c>
      <c r="E496" s="297" t="s">
        <v>1393</v>
      </c>
      <c r="F496" s="297" t="s">
        <v>3060</v>
      </c>
      <c r="G496" s="297"/>
      <c r="H496" s="297" t="s">
        <v>4028</v>
      </c>
      <c r="I496" s="297" t="s">
        <v>3109</v>
      </c>
      <c r="J496" s="45" t="str">
        <f t="shared" si="14"/>
        <v>TungstenJapan New Metals Co., Ltd.</v>
      </c>
      <c r="K496" s="45" t="str">
        <f t="shared" si="15"/>
        <v>TungstenJapan New Metals Co., Ltd.</v>
      </c>
      <c r="T496"/>
    </row>
    <row r="497" spans="1:20" ht="10.5" customHeight="1">
      <c r="A497" s="297" t="s">
        <v>2293</v>
      </c>
      <c r="B497" s="297" t="s">
        <v>2709</v>
      </c>
      <c r="C497" s="297" t="s">
        <v>2709</v>
      </c>
      <c r="D497" s="297" t="s">
        <v>2150</v>
      </c>
      <c r="E497" s="297" t="s">
        <v>2710</v>
      </c>
      <c r="F497" s="297" t="s">
        <v>3060</v>
      </c>
      <c r="G497" s="297"/>
      <c r="H497" s="297" t="s">
        <v>3398</v>
      </c>
      <c r="I497" s="297" t="s">
        <v>3139</v>
      </c>
      <c r="J497" s="45" t="str">
        <f t="shared" si="14"/>
        <v>TungstenJiangwu H.C. Starck Tungsten Products Co., Ltd.</v>
      </c>
      <c r="K497" s="45" t="str">
        <f t="shared" si="15"/>
        <v>TungstenJiangwu H.C. Starck Tungsten Products Co., Ltd.</v>
      </c>
      <c r="T497"/>
    </row>
    <row r="498" spans="1:20" ht="10.5" customHeight="1">
      <c r="A498" s="297" t="s">
        <v>2293</v>
      </c>
      <c r="B498" s="297" t="s">
        <v>4251</v>
      </c>
      <c r="C498" s="297" t="s">
        <v>4251</v>
      </c>
      <c r="D498" s="297" t="s">
        <v>2150</v>
      </c>
      <c r="E498" s="297" t="s">
        <v>4252</v>
      </c>
      <c r="F498" s="297" t="s">
        <v>3060</v>
      </c>
      <c r="G498" s="297"/>
      <c r="H498" s="297" t="s">
        <v>4623</v>
      </c>
      <c r="I498" s="297" t="s">
        <v>3139</v>
      </c>
      <c r="J498" s="45" t="str">
        <f t="shared" si="14"/>
        <v>TungstenJiangxi Dayu Longxintai Tungsten Co., Ltd.</v>
      </c>
      <c r="K498" s="45" t="str">
        <f t="shared" si="15"/>
        <v>TungstenJiangxi Dayu Longxintai Tungsten Co., Ltd.</v>
      </c>
      <c r="T498"/>
    </row>
    <row r="499" spans="1:20" ht="10.5" customHeight="1">
      <c r="A499" s="297" t="s">
        <v>2293</v>
      </c>
      <c r="B499" s="297" t="s">
        <v>215</v>
      </c>
      <c r="C499" s="297" t="s">
        <v>215</v>
      </c>
      <c r="D499" s="297" t="s">
        <v>2150</v>
      </c>
      <c r="E499" s="297" t="s">
        <v>196</v>
      </c>
      <c r="F499" s="297" t="s">
        <v>3060</v>
      </c>
      <c r="G499" s="297"/>
      <c r="H499" s="297" t="s">
        <v>3498</v>
      </c>
      <c r="I499" s="297" t="s">
        <v>3139</v>
      </c>
      <c r="J499" s="45" t="str">
        <f t="shared" si="14"/>
        <v>TungstenJiangxi Gan Bei Tungsten Co., Ltd.</v>
      </c>
      <c r="K499" s="45" t="str">
        <f t="shared" si="15"/>
        <v>TungstenJiangxi Gan Bei Tungsten Co., Ltd.</v>
      </c>
      <c r="T499"/>
    </row>
    <row r="500" spans="1:20" ht="10.5" customHeight="1">
      <c r="A500" s="297" t="s">
        <v>2293</v>
      </c>
      <c r="B500" s="297" t="s">
        <v>1439</v>
      </c>
      <c r="C500" s="297" t="s">
        <v>1439</v>
      </c>
      <c r="D500" s="297" t="s">
        <v>2150</v>
      </c>
      <c r="E500" s="297" t="s">
        <v>1401</v>
      </c>
      <c r="F500" s="297" t="s">
        <v>3060</v>
      </c>
      <c r="G500" s="297"/>
      <c r="H500" s="297" t="s">
        <v>3494</v>
      </c>
      <c r="I500" s="297" t="s">
        <v>3139</v>
      </c>
      <c r="J500" s="45" t="str">
        <f t="shared" si="14"/>
        <v>TungstenJiangxi Minmetals Gao'an Non-ferrous Metals Co., Ltd.</v>
      </c>
      <c r="K500" s="45" t="str">
        <f t="shared" si="15"/>
        <v>TungstenJiangxi Minmetals Gao'an Non-ferrous Metals Co., Ltd.</v>
      </c>
      <c r="T500"/>
    </row>
    <row r="501" spans="1:20" ht="10.5" customHeight="1">
      <c r="A501" s="297" t="s">
        <v>2293</v>
      </c>
      <c r="B501" s="297" t="s">
        <v>212</v>
      </c>
      <c r="C501" s="297" t="s">
        <v>212</v>
      </c>
      <c r="D501" s="297" t="s">
        <v>2150</v>
      </c>
      <c r="E501" s="297" t="s">
        <v>201</v>
      </c>
      <c r="F501" s="297" t="s">
        <v>3060</v>
      </c>
      <c r="G501" s="297"/>
      <c r="H501" s="297" t="s">
        <v>3495</v>
      </c>
      <c r="I501" s="297" t="s">
        <v>3139</v>
      </c>
      <c r="J501" s="45" t="str">
        <f t="shared" si="14"/>
        <v>TungstenJiangxi Tonggu Non-ferrous Metallurgical &amp; Chemical Co., Ltd.</v>
      </c>
      <c r="K501" s="45" t="str">
        <f t="shared" si="15"/>
        <v>TungstenJiangxi Tonggu Non-ferrous Metallurgical &amp; Chemical Co., Ltd.</v>
      </c>
      <c r="T501"/>
    </row>
    <row r="502" spans="1:20" ht="10.5" customHeight="1">
      <c r="A502" s="297" t="s">
        <v>2293</v>
      </c>
      <c r="B502" s="297" t="s">
        <v>4203</v>
      </c>
      <c r="C502" s="297" t="s">
        <v>207</v>
      </c>
      <c r="D502" s="297" t="s">
        <v>2150</v>
      </c>
      <c r="E502" s="297" t="s">
        <v>1394</v>
      </c>
      <c r="F502" s="297" t="s">
        <v>3060</v>
      </c>
      <c r="G502" s="297"/>
      <c r="H502" s="297" t="s">
        <v>3398</v>
      </c>
      <c r="I502" s="297" t="s">
        <v>3139</v>
      </c>
      <c r="J502" s="45" t="str">
        <f t="shared" si="14"/>
        <v>TungstenJiangxi Tungsten Co Ltd</v>
      </c>
      <c r="K502" s="45" t="str">
        <f t="shared" si="15"/>
        <v>TungstenJiangxi Tungsten Co Ltd</v>
      </c>
      <c r="T502"/>
    </row>
    <row r="503" spans="1:20" ht="10.5" customHeight="1">
      <c r="A503" s="297" t="s">
        <v>2293</v>
      </c>
      <c r="B503" s="297" t="s">
        <v>3484</v>
      </c>
      <c r="C503" s="297" t="s">
        <v>207</v>
      </c>
      <c r="D503" s="297" t="s">
        <v>2150</v>
      </c>
      <c r="E503" s="297" t="s">
        <v>1394</v>
      </c>
      <c r="F503" s="297" t="s">
        <v>3060</v>
      </c>
      <c r="G503" s="297"/>
      <c r="H503" s="297" t="s">
        <v>3398</v>
      </c>
      <c r="I503" s="297" t="s">
        <v>3139</v>
      </c>
      <c r="J503" s="45" t="str">
        <f t="shared" si="14"/>
        <v>TungstenJiangxi Tungsten Industry Group Co. Ltd.</v>
      </c>
      <c r="K503" s="45" t="str">
        <f t="shared" si="15"/>
        <v>TungstenJiangxi Tungsten Industry Group Co. Ltd.</v>
      </c>
      <c r="T503"/>
    </row>
    <row r="504" spans="1:20" ht="10.5" customHeight="1">
      <c r="A504" s="297" t="s">
        <v>2293</v>
      </c>
      <c r="B504" s="297" t="s">
        <v>211</v>
      </c>
      <c r="C504" s="297" t="s">
        <v>211</v>
      </c>
      <c r="D504" s="297" t="s">
        <v>2150</v>
      </c>
      <c r="E504" s="297" t="s">
        <v>200</v>
      </c>
      <c r="F504" s="297" t="s">
        <v>3060</v>
      </c>
      <c r="G504" s="297"/>
      <c r="H504" s="297" t="s">
        <v>3398</v>
      </c>
      <c r="I504" s="297" t="s">
        <v>3139</v>
      </c>
      <c r="J504" s="45" t="str">
        <f t="shared" si="14"/>
        <v>TungstenJiangxi Xinsheng Tungsten Industry Co., Ltd.</v>
      </c>
      <c r="K504" s="45" t="str">
        <f t="shared" si="15"/>
        <v>TungstenJiangxi Xinsheng Tungsten Industry Co., Ltd.</v>
      </c>
      <c r="T504"/>
    </row>
    <row r="505" spans="1:20" ht="10.5" customHeight="1">
      <c r="A505" s="297" t="s">
        <v>2293</v>
      </c>
      <c r="B505" s="297" t="s">
        <v>2675</v>
      </c>
      <c r="C505" s="297" t="s">
        <v>2675</v>
      </c>
      <c r="D505" s="297" t="s">
        <v>2150</v>
      </c>
      <c r="E505" s="297" t="s">
        <v>2676</v>
      </c>
      <c r="F505" s="297" t="s">
        <v>3060</v>
      </c>
      <c r="G505" s="297"/>
      <c r="H505" s="297" t="s">
        <v>3498</v>
      </c>
      <c r="I505" s="297" t="s">
        <v>3139</v>
      </c>
      <c r="J505" s="45" t="str">
        <f t="shared" si="14"/>
        <v>TungstenJiangxi Xiushui Xianggan Nonferrous Metals Co., Ltd.</v>
      </c>
      <c r="K505" s="45" t="str">
        <f t="shared" si="15"/>
        <v>TungstenJiangxi Xiushui Xianggan Nonferrous Metals Co., Ltd.</v>
      </c>
      <c r="T505"/>
    </row>
    <row r="506" spans="1:20" ht="10.5" customHeight="1">
      <c r="A506" s="297" t="s">
        <v>2293</v>
      </c>
      <c r="B506" s="297" t="s">
        <v>210</v>
      </c>
      <c r="C506" s="297" t="s">
        <v>210</v>
      </c>
      <c r="D506" s="297" t="s">
        <v>2150</v>
      </c>
      <c r="E506" s="297" t="s">
        <v>199</v>
      </c>
      <c r="F506" s="297" t="s">
        <v>3060</v>
      </c>
      <c r="G506" s="297"/>
      <c r="H506" s="297" t="s">
        <v>3398</v>
      </c>
      <c r="I506" s="297" t="s">
        <v>3139</v>
      </c>
      <c r="J506" s="45" t="str">
        <f t="shared" si="14"/>
        <v>TungstenJiangxi Yaosheng Tungsten Co., Ltd.</v>
      </c>
      <c r="K506" s="45" t="str">
        <f t="shared" si="15"/>
        <v>TungstenJiangxi Yaosheng Tungsten Co., Ltd.</v>
      </c>
      <c r="T506"/>
    </row>
    <row r="507" spans="1:20" ht="10.5" customHeight="1">
      <c r="A507" s="297" t="s">
        <v>2293</v>
      </c>
      <c r="B507" s="297" t="s">
        <v>208</v>
      </c>
      <c r="C507" s="297" t="s">
        <v>208</v>
      </c>
      <c r="D507" s="297" t="s">
        <v>4880</v>
      </c>
      <c r="E507" s="297" t="s">
        <v>1395</v>
      </c>
      <c r="F507" s="297" t="s">
        <v>3060</v>
      </c>
      <c r="G507" s="297"/>
      <c r="H507" s="297" t="s">
        <v>3485</v>
      </c>
      <c r="I507" s="297" t="s">
        <v>3362</v>
      </c>
      <c r="J507" s="45" t="str">
        <f t="shared" si="14"/>
        <v>TungstenKennametal Fallon</v>
      </c>
      <c r="K507" s="45" t="str">
        <f t="shared" si="15"/>
        <v>TungstenKennametal Fallon</v>
      </c>
      <c r="T507"/>
    </row>
    <row r="508" spans="1:20" ht="10.5" customHeight="1">
      <c r="A508" s="297" t="s">
        <v>2293</v>
      </c>
      <c r="B508" s="297" t="s">
        <v>206</v>
      </c>
      <c r="C508" s="297" t="s">
        <v>206</v>
      </c>
      <c r="D508" s="297" t="s">
        <v>4880</v>
      </c>
      <c r="E508" s="297" t="s">
        <v>1385</v>
      </c>
      <c r="F508" s="297" t="s">
        <v>3060</v>
      </c>
      <c r="G508" s="297"/>
      <c r="H508" s="297" t="s">
        <v>3477</v>
      </c>
      <c r="I508" s="297" t="s">
        <v>3478</v>
      </c>
      <c r="J508" s="45" t="str">
        <f t="shared" si="14"/>
        <v>TungstenKennametal Huntsville</v>
      </c>
      <c r="K508" s="45" t="str">
        <f t="shared" si="15"/>
        <v>TungstenKennametal Huntsville</v>
      </c>
      <c r="T508"/>
    </row>
    <row r="509" spans="1:20" ht="10.5" customHeight="1">
      <c r="A509" s="297" t="s">
        <v>2293</v>
      </c>
      <c r="B509" s="297" t="s">
        <v>213</v>
      </c>
      <c r="C509" s="297" t="s">
        <v>213</v>
      </c>
      <c r="D509" s="297" t="s">
        <v>2150</v>
      </c>
      <c r="E509" s="297" t="s">
        <v>202</v>
      </c>
      <c r="F509" s="297" t="s">
        <v>3060</v>
      </c>
      <c r="G509" s="297"/>
      <c r="H509" s="297" t="s">
        <v>3496</v>
      </c>
      <c r="I509" s="297" t="s">
        <v>3096</v>
      </c>
      <c r="J509" s="45" t="str">
        <f t="shared" si="14"/>
        <v>TungstenMalipo Haiyu Tungsten Co., Ltd.</v>
      </c>
      <c r="K509" s="45" t="str">
        <f t="shared" si="15"/>
        <v>TungstenMalipo Haiyu Tungsten Co., Ltd.</v>
      </c>
      <c r="T509"/>
    </row>
    <row r="510" spans="1:20" ht="10.5" customHeight="1">
      <c r="A510" s="297" t="s">
        <v>2293</v>
      </c>
      <c r="B510" s="297" t="s">
        <v>4255</v>
      </c>
      <c r="C510" s="297" t="s">
        <v>4255</v>
      </c>
      <c r="D510" s="297" t="s">
        <v>1690</v>
      </c>
      <c r="E510" s="297" t="s">
        <v>4256</v>
      </c>
      <c r="F510" s="297" t="s">
        <v>3060</v>
      </c>
      <c r="G510" s="297"/>
      <c r="H510" s="297" t="s">
        <v>4257</v>
      </c>
      <c r="I510" s="297" t="s">
        <v>3229</v>
      </c>
      <c r="J510" s="45" t="str">
        <f t="shared" si="14"/>
        <v>TungstenMoliren Ltd</v>
      </c>
      <c r="K510" s="45" t="str">
        <f t="shared" si="15"/>
        <v>TungstenMoliren Ltd</v>
      </c>
      <c r="T510"/>
    </row>
    <row r="511" spans="1:20" ht="10.5" customHeight="1">
      <c r="A511" s="297" t="s">
        <v>2293</v>
      </c>
      <c r="B511" s="297" t="s">
        <v>3506</v>
      </c>
      <c r="C511" s="297" t="s">
        <v>3506</v>
      </c>
      <c r="D511" s="297" t="s">
        <v>4880</v>
      </c>
      <c r="E511" s="297" t="s">
        <v>3507</v>
      </c>
      <c r="F511" s="297" t="s">
        <v>3060</v>
      </c>
      <c r="G511" s="297"/>
      <c r="H511" s="297" t="s">
        <v>3508</v>
      </c>
      <c r="I511" s="297" t="s">
        <v>3165</v>
      </c>
      <c r="J511" s="45" t="str">
        <f t="shared" si="14"/>
        <v>TungstenNiagara Refining LLC</v>
      </c>
      <c r="K511" s="45" t="str">
        <f t="shared" si="15"/>
        <v>TungstenNiagara Refining LLC</v>
      </c>
      <c r="T511"/>
    </row>
    <row r="512" spans="1:20" ht="10.5" customHeight="1">
      <c r="A512" s="297" t="s">
        <v>2293</v>
      </c>
      <c r="B512" s="297" t="s">
        <v>2712</v>
      </c>
      <c r="C512" s="297" t="s">
        <v>2712</v>
      </c>
      <c r="D512" s="297" t="s">
        <v>1737</v>
      </c>
      <c r="E512" s="297" t="s">
        <v>2711</v>
      </c>
      <c r="F512" s="297" t="s">
        <v>3060</v>
      </c>
      <c r="G512" s="297"/>
      <c r="H512" s="297" t="s">
        <v>3502</v>
      </c>
      <c r="I512" s="297" t="s">
        <v>3503</v>
      </c>
      <c r="J512" s="45" t="str">
        <f t="shared" si="14"/>
        <v>TungstenNui Phao H.C. Starck Tungsten Chemicals Manufacturing LLC</v>
      </c>
      <c r="K512" s="45" t="str">
        <f t="shared" si="15"/>
        <v>TungstenNui Phao H.C. Starck Tungsten Chemicals Manufacturing LLC</v>
      </c>
      <c r="T512"/>
    </row>
    <row r="513" spans="1:20" ht="10.5" customHeight="1">
      <c r="A513" s="297" t="s">
        <v>2293</v>
      </c>
      <c r="B513" s="297" t="s">
        <v>4624</v>
      </c>
      <c r="C513" s="297" t="s">
        <v>4624</v>
      </c>
      <c r="D513" s="297" t="s">
        <v>1679</v>
      </c>
      <c r="E513" s="297" t="s">
        <v>4258</v>
      </c>
      <c r="F513" s="297" t="s">
        <v>3060</v>
      </c>
      <c r="G513" s="297"/>
      <c r="H513" s="297" t="s">
        <v>4259</v>
      </c>
      <c r="I513" s="297" t="s">
        <v>4260</v>
      </c>
      <c r="J513" s="45" t="str">
        <f t="shared" si="14"/>
        <v>TungstenPhilippine Chuangxin Industrial Co., Inc.</v>
      </c>
      <c r="K513" s="45" t="str">
        <f t="shared" si="15"/>
        <v>TungstenPhilippine Chuangxin Industrial Co., Inc.</v>
      </c>
      <c r="T513"/>
    </row>
    <row r="514" spans="1:20" ht="10.5" customHeight="1">
      <c r="A514" s="297" t="s">
        <v>2293</v>
      </c>
      <c r="B514" s="297" t="s">
        <v>3493</v>
      </c>
      <c r="C514" s="297" t="s">
        <v>1440</v>
      </c>
      <c r="D514" s="297" t="s">
        <v>2150</v>
      </c>
      <c r="E514" s="297" t="s">
        <v>1400</v>
      </c>
      <c r="F514" s="297" t="s">
        <v>3060</v>
      </c>
      <c r="G514" s="297"/>
      <c r="H514" s="297" t="s">
        <v>3492</v>
      </c>
      <c r="I514" s="297" t="s">
        <v>3270</v>
      </c>
      <c r="J514" s="45" t="str">
        <f t="shared" si="14"/>
        <v>TungstenShaoguan Xinhai Rendan Tungsten Industry Co. Ltd</v>
      </c>
      <c r="K514" s="45" t="str">
        <f t="shared" si="15"/>
        <v>TungstenShaoguan Xinhai Rendan Tungsten Industry Co. Ltd</v>
      </c>
      <c r="T514"/>
    </row>
    <row r="515" spans="1:20" ht="10.5" customHeight="1">
      <c r="A515" s="297" t="s">
        <v>2293</v>
      </c>
      <c r="B515" s="297" t="s">
        <v>4261</v>
      </c>
      <c r="C515" s="297" t="s">
        <v>4261</v>
      </c>
      <c r="D515" s="297" t="s">
        <v>2150</v>
      </c>
      <c r="E515" s="297" t="s">
        <v>4262</v>
      </c>
      <c r="F515" s="297" t="s">
        <v>3060</v>
      </c>
      <c r="G515" s="297"/>
      <c r="H515" s="297" t="s">
        <v>3338</v>
      </c>
      <c r="I515" s="297" t="s">
        <v>3121</v>
      </c>
      <c r="J515" s="45" t="str">
        <f t="shared" si="14"/>
        <v>TungstenSouth-East Nonferrous Metal Company Limited of Hengyang City</v>
      </c>
      <c r="K515" s="45" t="str">
        <f t="shared" si="15"/>
        <v>TungstenSouth-East Nonferrous Metal Company Limited of Hengyang City</v>
      </c>
      <c r="T515"/>
    </row>
    <row r="516" spans="1:20" ht="10.5" customHeight="1">
      <c r="A516" s="297" t="s">
        <v>2293</v>
      </c>
      <c r="B516" s="297" t="s">
        <v>2</v>
      </c>
      <c r="C516" s="297" t="s">
        <v>2</v>
      </c>
      <c r="D516" s="297" t="s">
        <v>1737</v>
      </c>
      <c r="E516" s="297" t="s">
        <v>1396</v>
      </c>
      <c r="F516" s="297" t="s">
        <v>3060</v>
      </c>
      <c r="G516" s="297"/>
      <c r="H516" s="297" t="s">
        <v>3486</v>
      </c>
      <c r="I516" s="297" t="s">
        <v>4029</v>
      </c>
      <c r="J516" s="45" t="str">
        <f t="shared" si="14"/>
        <v>TungstenTejing (Vietnam) Tungsten Co., Ltd.</v>
      </c>
      <c r="K516" s="45" t="str">
        <f t="shared" si="15"/>
        <v>TungstenTejing (Vietnam) Tungsten Co., Ltd.</v>
      </c>
      <c r="T516"/>
    </row>
    <row r="517" spans="1:20" ht="10.5" customHeight="1">
      <c r="A517" s="297" t="s">
        <v>2293</v>
      </c>
      <c r="B517" s="297" t="s">
        <v>4915</v>
      </c>
      <c r="C517" s="297" t="s">
        <v>4915</v>
      </c>
      <c r="D517" s="297" t="s">
        <v>1690</v>
      </c>
      <c r="E517" s="297" t="s">
        <v>4916</v>
      </c>
      <c r="F517" s="297" t="s">
        <v>3060</v>
      </c>
      <c r="G517" s="297"/>
      <c r="H517" s="297" t="s">
        <v>4923</v>
      </c>
      <c r="I517" s="297" t="s">
        <v>4924</v>
      </c>
      <c r="J517" s="45" t="str">
        <f t="shared" si="14"/>
        <v>TungstenUnecha Refractory metals plant</v>
      </c>
      <c r="K517" s="45" t="str">
        <f t="shared" si="15"/>
        <v>TungstenUnecha Refractory metals plant</v>
      </c>
      <c r="T517"/>
    </row>
    <row r="518" spans="1:20" ht="10.5" customHeight="1">
      <c r="A518" s="297" t="s">
        <v>2293</v>
      </c>
      <c r="B518" s="297" t="s">
        <v>4066</v>
      </c>
      <c r="C518" s="297" t="s">
        <v>4066</v>
      </c>
      <c r="D518" s="297" t="s">
        <v>1737</v>
      </c>
      <c r="E518" s="297" t="s">
        <v>2542</v>
      </c>
      <c r="F518" s="297" t="s">
        <v>3060</v>
      </c>
      <c r="G518" s="297"/>
      <c r="H518" s="297" t="s">
        <v>3486</v>
      </c>
      <c r="I518" s="297" t="s">
        <v>3487</v>
      </c>
      <c r="J518" s="45" t="str">
        <f t="shared" si="14"/>
        <v>TungstenVietnam Youngsun Tungsten Industry Co., Ltd.</v>
      </c>
      <c r="K518" s="45" t="str">
        <f t="shared" si="15"/>
        <v>TungstenVietnam Youngsun Tungsten Industry Co., Ltd.</v>
      </c>
      <c r="T518"/>
    </row>
    <row r="519" spans="1:20" ht="10.5" customHeight="1">
      <c r="A519" s="297" t="s">
        <v>2293</v>
      </c>
      <c r="B519" s="297" t="s">
        <v>3490</v>
      </c>
      <c r="C519" s="297" t="s">
        <v>1756</v>
      </c>
      <c r="D519" s="297" t="s">
        <v>2125</v>
      </c>
      <c r="E519" s="297" t="s">
        <v>1397</v>
      </c>
      <c r="F519" s="297" t="s">
        <v>3060</v>
      </c>
      <c r="G519" s="297"/>
      <c r="H519" s="297" t="s">
        <v>3488</v>
      </c>
      <c r="I519" s="297" t="s">
        <v>3346</v>
      </c>
      <c r="J519" s="45" t="str">
        <f t="shared" si="14"/>
        <v>TungstenWBH</v>
      </c>
      <c r="K519" s="45" t="str">
        <f t="shared" si="15"/>
        <v>TungstenWBH</v>
      </c>
      <c r="T519"/>
    </row>
    <row r="520" spans="1:20" ht="10.5" customHeight="1">
      <c r="A520" s="297" t="s">
        <v>2293</v>
      </c>
      <c r="B520" s="297" t="s">
        <v>3489</v>
      </c>
      <c r="C520" s="297" t="s">
        <v>1756</v>
      </c>
      <c r="D520" s="297" t="s">
        <v>2125</v>
      </c>
      <c r="E520" s="297" t="s">
        <v>1397</v>
      </c>
      <c r="F520" s="297" t="s">
        <v>3060</v>
      </c>
      <c r="G520" s="297"/>
      <c r="H520" s="297" t="s">
        <v>3488</v>
      </c>
      <c r="I520" s="297" t="s">
        <v>3346</v>
      </c>
      <c r="J520" s="45" t="str">
        <f t="shared" si="14"/>
        <v>TungstenWBH,Wolfram [Austria]</v>
      </c>
      <c r="K520" s="45" t="str">
        <f t="shared" si="15"/>
        <v>TungstenWBH,Wolfram [Austria]</v>
      </c>
      <c r="T520"/>
    </row>
    <row r="521" spans="1:20" ht="10.5" customHeight="1">
      <c r="A521" s="297" t="s">
        <v>2293</v>
      </c>
      <c r="B521" s="297" t="s">
        <v>1756</v>
      </c>
      <c r="C521" s="297" t="s">
        <v>1756</v>
      </c>
      <c r="D521" s="297" t="s">
        <v>2125</v>
      </c>
      <c r="E521" s="297" t="s">
        <v>1397</v>
      </c>
      <c r="F521" s="297" t="s">
        <v>3060</v>
      </c>
      <c r="G521" s="297"/>
      <c r="H521" s="297" t="s">
        <v>3488</v>
      </c>
      <c r="I521" s="297" t="s">
        <v>3346</v>
      </c>
      <c r="J521" s="45" t="str">
        <f t="shared" si="14"/>
        <v>TungstenWolfram Bergbau und Hütten AG</v>
      </c>
      <c r="K521" s="45" t="str">
        <f t="shared" si="15"/>
        <v>TungstenWolfram Bergbau und Hütten AG</v>
      </c>
      <c r="T521"/>
    </row>
    <row r="522" spans="1:20" ht="10.5" customHeight="1">
      <c r="A522" s="297" t="s">
        <v>2293</v>
      </c>
      <c r="B522" s="297" t="s">
        <v>4263</v>
      </c>
      <c r="C522" s="297" t="s">
        <v>4263</v>
      </c>
      <c r="D522" s="297" t="s">
        <v>4876</v>
      </c>
      <c r="E522" s="297" t="s">
        <v>4264</v>
      </c>
      <c r="F522" s="297" t="s">
        <v>3060</v>
      </c>
      <c r="G522" s="297"/>
      <c r="H522" s="297" t="s">
        <v>4265</v>
      </c>
      <c r="I522" s="297" t="s">
        <v>4266</v>
      </c>
      <c r="J522" s="45" t="str">
        <f t="shared" si="14"/>
        <v>TungstenWoltech Korea Co., Ltd.</v>
      </c>
      <c r="K522" s="45" t="str">
        <f t="shared" si="15"/>
        <v>TungstenWoltech Korea Co., Ltd.</v>
      </c>
      <c r="T522"/>
    </row>
    <row r="523" spans="1:20" ht="10.5" customHeight="1">
      <c r="A523" s="297" t="s">
        <v>2293</v>
      </c>
      <c r="B523" s="297" t="s">
        <v>3497</v>
      </c>
      <c r="C523" s="297" t="s">
        <v>214</v>
      </c>
      <c r="D523" s="297" t="s">
        <v>2150</v>
      </c>
      <c r="E523" s="297" t="s">
        <v>203</v>
      </c>
      <c r="F523" s="297" t="s">
        <v>3060</v>
      </c>
      <c r="G523" s="297"/>
      <c r="H523" s="297" t="s">
        <v>3491</v>
      </c>
      <c r="I523" s="297" t="s">
        <v>3267</v>
      </c>
      <c r="J523" s="45" t="str">
        <f t="shared" si="14"/>
        <v>TungstenXiamen H.C.</v>
      </c>
      <c r="K523" s="45" t="str">
        <f t="shared" si="15"/>
        <v>TungstenXiamen H.C.</v>
      </c>
      <c r="T523"/>
    </row>
    <row r="524" spans="1:20" ht="10.5" customHeight="1">
      <c r="A524" s="297" t="s">
        <v>2293</v>
      </c>
      <c r="B524" s="297" t="s">
        <v>214</v>
      </c>
      <c r="C524" s="297" t="s">
        <v>214</v>
      </c>
      <c r="D524" s="297" t="s">
        <v>2150</v>
      </c>
      <c r="E524" s="297" t="s">
        <v>203</v>
      </c>
      <c r="F524" s="297" t="s">
        <v>3060</v>
      </c>
      <c r="G524" s="297"/>
      <c r="H524" s="297" t="s">
        <v>3491</v>
      </c>
      <c r="I524" s="297" t="s">
        <v>3267</v>
      </c>
      <c r="J524" s="45" t="str">
        <f t="shared" ref="J524:J544" si="16">A524&amp;B524</f>
        <v>TungstenXiamen Tungsten (H.C.) Co., Ltd.</v>
      </c>
      <c r="K524" s="45" t="str">
        <f t="shared" ref="K524:K544" si="17">A524&amp;B524</f>
        <v>TungstenXiamen Tungsten (H.C.) Co., Ltd.</v>
      </c>
      <c r="T524"/>
    </row>
    <row r="525" spans="1:20" ht="10.5" customHeight="1">
      <c r="A525" s="297" t="s">
        <v>2293</v>
      </c>
      <c r="B525" s="297" t="s">
        <v>2627</v>
      </c>
      <c r="C525" s="297" t="s">
        <v>2627</v>
      </c>
      <c r="D525" s="297" t="s">
        <v>2150</v>
      </c>
      <c r="E525" s="297" t="s">
        <v>1398</v>
      </c>
      <c r="F525" s="297" t="s">
        <v>3060</v>
      </c>
      <c r="G525" s="297"/>
      <c r="H525" s="297" t="s">
        <v>3491</v>
      </c>
      <c r="I525" s="297" t="s">
        <v>3267</v>
      </c>
      <c r="J525" s="45" t="str">
        <f t="shared" si="16"/>
        <v>TungstenXiamen Tungsten Co., Ltd.</v>
      </c>
      <c r="K525" s="45" t="str">
        <f t="shared" si="17"/>
        <v>TungstenXiamen Tungsten Co., Ltd.</v>
      </c>
      <c r="T525"/>
    </row>
    <row r="526" spans="1:20" ht="10.5" customHeight="1">
      <c r="A526" s="297" t="s">
        <v>2293</v>
      </c>
      <c r="B526" s="297" t="s">
        <v>4267</v>
      </c>
      <c r="C526" s="297" t="s">
        <v>4267</v>
      </c>
      <c r="D526" s="297" t="s">
        <v>2150</v>
      </c>
      <c r="E526" s="297" t="s">
        <v>4268</v>
      </c>
      <c r="F526" s="297" t="s">
        <v>3060</v>
      </c>
      <c r="G526" s="297"/>
      <c r="H526" s="297" t="s">
        <v>3398</v>
      </c>
      <c r="I526" s="297" t="s">
        <v>3139</v>
      </c>
      <c r="J526" s="45" t="str">
        <f t="shared" si="16"/>
        <v>TungstenXinfeng Huarui Tungsten &amp; Molybdenum New Material Co., Ltd.</v>
      </c>
      <c r="K526" s="45" t="str">
        <f t="shared" si="17"/>
        <v>TungstenXinfeng Huarui Tungsten &amp; Molybdenum New Material Co., Ltd.</v>
      </c>
      <c r="T526"/>
    </row>
    <row r="527" spans="1:20" ht="10.5" customHeight="1">
      <c r="A527" s="297" t="s">
        <v>2293</v>
      </c>
      <c r="B527" s="297" t="s">
        <v>1440</v>
      </c>
      <c r="C527" s="297" t="s">
        <v>1440</v>
      </c>
      <c r="D527" s="297" t="s">
        <v>2150</v>
      </c>
      <c r="E527" s="297" t="s">
        <v>1400</v>
      </c>
      <c r="F527" s="297" t="s">
        <v>3060</v>
      </c>
      <c r="G527" s="297"/>
      <c r="H527" s="297" t="s">
        <v>3492</v>
      </c>
      <c r="I527" s="297" t="s">
        <v>3270</v>
      </c>
      <c r="J527" s="45" t="str">
        <f t="shared" si="16"/>
        <v>TungstenXinhai Rendan Shaoguan Tungsten Co., Ltd.</v>
      </c>
      <c r="K527" s="45" t="str">
        <f t="shared" si="17"/>
        <v>TungstenXinhai Rendan Shaoguan Tungsten Co., Ltd.</v>
      </c>
      <c r="T527"/>
    </row>
    <row r="528" spans="1:20" ht="10.5" customHeight="1">
      <c r="A528" s="297" t="s">
        <v>2293</v>
      </c>
      <c r="B528" s="297" t="s">
        <v>3480</v>
      </c>
      <c r="C528" s="297" t="s">
        <v>2623</v>
      </c>
      <c r="D528" s="297" t="s">
        <v>2150</v>
      </c>
      <c r="E528" s="297" t="s">
        <v>1387</v>
      </c>
      <c r="F528" s="297" t="s">
        <v>3060</v>
      </c>
      <c r="G528" s="297"/>
      <c r="H528" s="297" t="s">
        <v>3398</v>
      </c>
      <c r="I528" s="297" t="s">
        <v>3139</v>
      </c>
      <c r="J528" s="45" t="str">
        <f t="shared" si="16"/>
        <v>TungstenZhangyuan Tungsten Co Ltd</v>
      </c>
      <c r="K528" s="45" t="str">
        <f t="shared" si="17"/>
        <v>TungstenZhangyuan Tungsten Co Ltd</v>
      </c>
      <c r="T528"/>
    </row>
    <row r="529" spans="1:20" ht="10.5" customHeight="1">
      <c r="A529" s="243" t="s">
        <v>2293</v>
      </c>
      <c r="B529" s="243" t="s">
        <v>3493</v>
      </c>
      <c r="C529" s="243" t="s">
        <v>1440</v>
      </c>
      <c r="D529" s="243" t="s">
        <v>2150</v>
      </c>
      <c r="E529" s="243" t="s">
        <v>1400</v>
      </c>
      <c r="F529" s="243" t="s">
        <v>3060</v>
      </c>
      <c r="G529" s="243"/>
      <c r="H529" s="243" t="s">
        <v>3492</v>
      </c>
      <c r="I529" s="243" t="s">
        <v>3270</v>
      </c>
      <c r="J529" s="45" t="str">
        <f t="shared" si="16"/>
        <v>TungstenShaoguan Xinhai Rendan Tungsten Industry Co. Ltd</v>
      </c>
      <c r="K529" s="45" t="str">
        <f t="shared" si="17"/>
        <v>TungstenShaoguan Xinhai Rendan Tungsten Industry Co. Ltd</v>
      </c>
      <c r="T529"/>
    </row>
    <row r="530" spans="1:20" ht="10.5" customHeight="1">
      <c r="A530" s="243" t="s">
        <v>2293</v>
      </c>
      <c r="B530" s="243" t="s">
        <v>4261</v>
      </c>
      <c r="C530" s="243" t="s">
        <v>4261</v>
      </c>
      <c r="D530" s="243" t="s">
        <v>2150</v>
      </c>
      <c r="E530" s="243" t="s">
        <v>4262</v>
      </c>
      <c r="F530" s="243" t="s">
        <v>3060</v>
      </c>
      <c r="G530" s="243"/>
      <c r="H530" s="243" t="s">
        <v>3338</v>
      </c>
      <c r="I530" s="243" t="s">
        <v>3121</v>
      </c>
      <c r="J530" s="45" t="str">
        <f t="shared" si="16"/>
        <v>TungstenSouth-East Nonferrous Metal Company Limited of Hengyang City</v>
      </c>
      <c r="K530" s="45" t="str">
        <f t="shared" si="17"/>
        <v>TungstenSouth-East Nonferrous Metal Company Limited of Hengyang City</v>
      </c>
      <c r="T530"/>
    </row>
    <row r="531" spans="1:20" ht="10.5" customHeight="1">
      <c r="A531" s="243" t="s">
        <v>2293</v>
      </c>
      <c r="B531" s="243" t="s">
        <v>2</v>
      </c>
      <c r="C531" s="243" t="s">
        <v>2</v>
      </c>
      <c r="D531" s="243" t="s">
        <v>1737</v>
      </c>
      <c r="E531" s="243" t="s">
        <v>1396</v>
      </c>
      <c r="F531" s="243" t="s">
        <v>3060</v>
      </c>
      <c r="G531" s="243"/>
      <c r="H531" s="243" t="s">
        <v>3486</v>
      </c>
      <c r="I531" s="243" t="s">
        <v>4029</v>
      </c>
      <c r="J531" s="45" t="str">
        <f t="shared" si="16"/>
        <v>TungstenTejing (Vietnam) Tungsten Co., Ltd.</v>
      </c>
      <c r="K531" s="45" t="str">
        <f t="shared" si="17"/>
        <v>TungstenTejing (Vietnam) Tungsten Co., Ltd.</v>
      </c>
      <c r="T531"/>
    </row>
    <row r="532" spans="1:20" ht="10.5" customHeight="1">
      <c r="A532" s="243" t="s">
        <v>2293</v>
      </c>
      <c r="B532" s="243" t="s">
        <v>4066</v>
      </c>
      <c r="C532" s="243" t="s">
        <v>4066</v>
      </c>
      <c r="D532" s="243" t="s">
        <v>1737</v>
      </c>
      <c r="E532" s="243" t="s">
        <v>2542</v>
      </c>
      <c r="F532" s="243" t="s">
        <v>3060</v>
      </c>
      <c r="G532" s="243"/>
      <c r="H532" s="243" t="s">
        <v>3486</v>
      </c>
      <c r="I532" s="243" t="s">
        <v>3487</v>
      </c>
      <c r="J532" s="45" t="str">
        <f t="shared" si="16"/>
        <v>TungstenVietnam Youngsun Tungsten Industry Co., Ltd.</v>
      </c>
      <c r="K532" s="45" t="str">
        <f t="shared" si="17"/>
        <v>TungstenVietnam Youngsun Tungsten Industry Co., Ltd.</v>
      </c>
      <c r="T532"/>
    </row>
    <row r="533" spans="1:20" ht="10.5" customHeight="1">
      <c r="A533" s="243" t="s">
        <v>2293</v>
      </c>
      <c r="B533" s="243" t="s">
        <v>3490</v>
      </c>
      <c r="C533" s="243" t="s">
        <v>1756</v>
      </c>
      <c r="D533" s="243" t="s">
        <v>2125</v>
      </c>
      <c r="E533" s="243" t="s">
        <v>1397</v>
      </c>
      <c r="F533" s="243" t="s">
        <v>3060</v>
      </c>
      <c r="G533" s="243"/>
      <c r="H533" s="243" t="s">
        <v>3488</v>
      </c>
      <c r="I533" s="243" t="s">
        <v>3346</v>
      </c>
      <c r="J533" s="45" t="str">
        <f t="shared" si="16"/>
        <v>TungstenWBH</v>
      </c>
      <c r="K533" s="45" t="str">
        <f t="shared" si="17"/>
        <v>TungstenWBH</v>
      </c>
      <c r="T533"/>
    </row>
    <row r="534" spans="1:20" ht="10.5" customHeight="1">
      <c r="A534" s="243" t="s">
        <v>2293</v>
      </c>
      <c r="B534" s="243" t="s">
        <v>3489</v>
      </c>
      <c r="C534" s="243" t="s">
        <v>1756</v>
      </c>
      <c r="D534" s="243" t="s">
        <v>2125</v>
      </c>
      <c r="E534" s="243" t="s">
        <v>1397</v>
      </c>
      <c r="F534" s="243" t="s">
        <v>3060</v>
      </c>
      <c r="G534" s="243"/>
      <c r="H534" s="243" t="s">
        <v>3488</v>
      </c>
      <c r="I534" s="243" t="s">
        <v>3346</v>
      </c>
      <c r="J534" s="45" t="str">
        <f t="shared" si="16"/>
        <v>TungstenWBH,Wolfram [Austria]</v>
      </c>
      <c r="K534" s="45" t="str">
        <f t="shared" si="17"/>
        <v>TungstenWBH,Wolfram [Austria]</v>
      </c>
      <c r="T534"/>
    </row>
    <row r="535" spans="1:20" ht="10.5" customHeight="1">
      <c r="A535" s="243" t="s">
        <v>2293</v>
      </c>
      <c r="B535" s="243" t="s">
        <v>1756</v>
      </c>
      <c r="C535" s="243" t="s">
        <v>1756</v>
      </c>
      <c r="D535" s="243" t="s">
        <v>2125</v>
      </c>
      <c r="E535" s="243" t="s">
        <v>1397</v>
      </c>
      <c r="F535" s="243" t="s">
        <v>3060</v>
      </c>
      <c r="G535" s="243"/>
      <c r="H535" s="243" t="s">
        <v>3488</v>
      </c>
      <c r="I535" s="243" t="s">
        <v>3346</v>
      </c>
      <c r="J535" s="45" t="str">
        <f t="shared" si="16"/>
        <v>TungstenWolfram Bergbau und Hütten AG</v>
      </c>
      <c r="K535" s="45" t="str">
        <f t="shared" si="17"/>
        <v>TungstenWolfram Bergbau und Hütten AG</v>
      </c>
      <c r="T535"/>
    </row>
    <row r="536" spans="1:20" ht="10.5" customHeight="1">
      <c r="A536" s="243" t="s">
        <v>2293</v>
      </c>
      <c r="B536" s="243" t="s">
        <v>4263</v>
      </c>
      <c r="C536" s="243" t="s">
        <v>4263</v>
      </c>
      <c r="D536" s="243" t="s">
        <v>2224</v>
      </c>
      <c r="E536" s="243" t="s">
        <v>4264</v>
      </c>
      <c r="F536" s="243" t="s">
        <v>3060</v>
      </c>
      <c r="G536" s="243"/>
      <c r="H536" s="243" t="s">
        <v>4265</v>
      </c>
      <c r="I536" s="243" t="s">
        <v>4266</v>
      </c>
      <c r="J536" s="45" t="str">
        <f t="shared" si="16"/>
        <v>TungstenWoltech Korea Co., Ltd.</v>
      </c>
      <c r="K536" s="45" t="str">
        <f t="shared" si="17"/>
        <v>TungstenWoltech Korea Co., Ltd.</v>
      </c>
      <c r="T536"/>
    </row>
    <row r="537" spans="1:20" ht="10.5" customHeight="1">
      <c r="A537" s="243" t="s">
        <v>2293</v>
      </c>
      <c r="B537" s="243" t="s">
        <v>3497</v>
      </c>
      <c r="C537" s="243" t="s">
        <v>214</v>
      </c>
      <c r="D537" s="243" t="s">
        <v>2150</v>
      </c>
      <c r="E537" s="243" t="s">
        <v>203</v>
      </c>
      <c r="F537" s="243" t="s">
        <v>3060</v>
      </c>
      <c r="G537" s="243"/>
      <c r="H537" s="243" t="s">
        <v>3491</v>
      </c>
      <c r="I537" s="243" t="s">
        <v>3267</v>
      </c>
      <c r="J537" s="45" t="str">
        <f t="shared" si="16"/>
        <v>TungstenXiamen H.C.</v>
      </c>
      <c r="K537" s="45" t="str">
        <f t="shared" si="17"/>
        <v>TungstenXiamen H.C.</v>
      </c>
      <c r="T537"/>
    </row>
    <row r="538" spans="1:20" ht="10.5" customHeight="1">
      <c r="A538" s="243" t="s">
        <v>2293</v>
      </c>
      <c r="B538" s="243" t="s">
        <v>214</v>
      </c>
      <c r="C538" s="243" t="s">
        <v>214</v>
      </c>
      <c r="D538" s="243" t="s">
        <v>2150</v>
      </c>
      <c r="E538" s="243" t="s">
        <v>203</v>
      </c>
      <c r="F538" s="243" t="s">
        <v>3060</v>
      </c>
      <c r="G538" s="243"/>
      <c r="H538" s="243" t="s">
        <v>3491</v>
      </c>
      <c r="I538" s="243" t="s">
        <v>3267</v>
      </c>
      <c r="J538" s="45" t="str">
        <f t="shared" si="16"/>
        <v>TungstenXiamen Tungsten (H.C.) Co., Ltd.</v>
      </c>
      <c r="K538" s="45" t="str">
        <f t="shared" si="17"/>
        <v>TungstenXiamen Tungsten (H.C.) Co., Ltd.</v>
      </c>
      <c r="T538"/>
    </row>
    <row r="539" spans="1:20" ht="10.5" customHeight="1">
      <c r="A539" s="243" t="s">
        <v>2293</v>
      </c>
      <c r="B539" s="243" t="s">
        <v>2627</v>
      </c>
      <c r="C539" s="243" t="s">
        <v>2627</v>
      </c>
      <c r="D539" s="243" t="s">
        <v>2150</v>
      </c>
      <c r="E539" s="243" t="s">
        <v>1398</v>
      </c>
      <c r="F539" s="243" t="s">
        <v>3060</v>
      </c>
      <c r="G539" s="243"/>
      <c r="H539" s="243" t="s">
        <v>3491</v>
      </c>
      <c r="I539" s="243" t="s">
        <v>3267</v>
      </c>
      <c r="J539" s="45" t="str">
        <f t="shared" si="16"/>
        <v>TungstenXiamen Tungsten Co., Ltd.</v>
      </c>
      <c r="K539" s="45" t="str">
        <f t="shared" si="17"/>
        <v>TungstenXiamen Tungsten Co., Ltd.</v>
      </c>
      <c r="T539"/>
    </row>
    <row r="540" spans="1:20" ht="10.5" customHeight="1">
      <c r="A540" s="243" t="s">
        <v>2293</v>
      </c>
      <c r="B540" s="243" t="s">
        <v>4267</v>
      </c>
      <c r="C540" s="243" t="s">
        <v>4267</v>
      </c>
      <c r="D540" s="243" t="s">
        <v>2150</v>
      </c>
      <c r="E540" s="243" t="s">
        <v>4268</v>
      </c>
      <c r="F540" s="243" t="s">
        <v>3060</v>
      </c>
      <c r="G540" s="243"/>
      <c r="H540" s="243" t="s">
        <v>3398</v>
      </c>
      <c r="I540" s="243" t="s">
        <v>3139</v>
      </c>
      <c r="J540" s="45" t="str">
        <f t="shared" si="16"/>
        <v>TungstenXinfeng Huarui Tungsten &amp; Molybdenum New Material Co., Ltd.</v>
      </c>
      <c r="K540" s="45" t="str">
        <f t="shared" si="17"/>
        <v>TungstenXinfeng Huarui Tungsten &amp; Molybdenum New Material Co., Ltd.</v>
      </c>
      <c r="T540"/>
    </row>
    <row r="541" spans="1:20" ht="10.5" customHeight="1">
      <c r="A541" s="243" t="s">
        <v>2293</v>
      </c>
      <c r="B541" s="243" t="s">
        <v>1440</v>
      </c>
      <c r="C541" s="243" t="s">
        <v>1440</v>
      </c>
      <c r="D541" s="243" t="s">
        <v>2150</v>
      </c>
      <c r="E541" s="243" t="s">
        <v>1400</v>
      </c>
      <c r="F541" s="243" t="s">
        <v>3060</v>
      </c>
      <c r="G541" s="243"/>
      <c r="H541" s="243" t="s">
        <v>3492</v>
      </c>
      <c r="I541" s="243" t="s">
        <v>3270</v>
      </c>
      <c r="J541" s="45" t="str">
        <f t="shared" si="16"/>
        <v>TungstenXinhai Rendan Shaoguan Tungsten Co., Ltd.</v>
      </c>
      <c r="K541" s="45" t="str">
        <f t="shared" si="17"/>
        <v>TungstenXinhai Rendan Shaoguan Tungsten Co., Ltd.</v>
      </c>
      <c r="T541"/>
    </row>
    <row r="542" spans="1:20" ht="10.5" customHeight="1">
      <c r="A542" s="243" t="s">
        <v>2293</v>
      </c>
      <c r="B542" s="243" t="s">
        <v>3480</v>
      </c>
      <c r="C542" s="243" t="s">
        <v>2623</v>
      </c>
      <c r="D542" s="243" t="s">
        <v>2150</v>
      </c>
      <c r="E542" s="243" t="s">
        <v>1387</v>
      </c>
      <c r="F542" s="243" t="s">
        <v>3060</v>
      </c>
      <c r="G542" s="243"/>
      <c r="H542" s="243" t="s">
        <v>3398</v>
      </c>
      <c r="I542" s="243" t="s">
        <v>3139</v>
      </c>
      <c r="J542" s="45" t="str">
        <f t="shared" si="16"/>
        <v>TungstenZhangyuan Tungsten Co Ltd</v>
      </c>
      <c r="K542" s="45" t="str">
        <f t="shared" si="17"/>
        <v>TungstenZhangyuan Tungsten Co Ltd</v>
      </c>
      <c r="T542"/>
    </row>
    <row r="543" spans="1:20" ht="10.5" customHeight="1">
      <c r="A543" s="243" t="s">
        <v>2293</v>
      </c>
      <c r="B543" s="243" t="s">
        <v>3517</v>
      </c>
      <c r="C543" s="243"/>
      <c r="D543" s="243"/>
      <c r="E543" s="243"/>
      <c r="F543" s="243"/>
      <c r="G543" s="243"/>
      <c r="H543" s="243"/>
      <c r="I543" s="243"/>
      <c r="J543" s="45" t="str">
        <f t="shared" si="16"/>
        <v>TungstenSmelter not listed</v>
      </c>
      <c r="K543" s="45" t="str">
        <f t="shared" si="17"/>
        <v>TungstenSmelter not listed</v>
      </c>
    </row>
    <row r="544" spans="1:20" ht="10.5" customHeight="1">
      <c r="A544" s="243" t="s">
        <v>2293</v>
      </c>
      <c r="B544" s="243" t="s">
        <v>2538</v>
      </c>
      <c r="C544" s="243" t="s">
        <v>906</v>
      </c>
      <c r="D544" s="243" t="s">
        <v>906</v>
      </c>
      <c r="E544" s="243"/>
      <c r="F544" s="243"/>
      <c r="G544" s="243"/>
      <c r="H544" s="243"/>
      <c r="I544" s="243"/>
      <c r="J544" s="45" t="str">
        <f t="shared" si="16"/>
        <v>TungstenSmelter not yet identified</v>
      </c>
      <c r="K544" s="45" t="str">
        <f t="shared" si="17"/>
        <v>TungstenSmelter not yet identified</v>
      </c>
    </row>
  </sheetData>
  <sheetProtection password="E985" sheet="1" formatRows="0"/>
  <mergeCells count="2">
    <mergeCell ref="A1:G1"/>
    <mergeCell ref="A2:I3"/>
  </mergeCells>
  <phoneticPr fontId="31"/>
  <conditionalFormatting sqref="K227:K242 K296:K303 K463 K306:K307 K466:K532 K310:K460 K245:K293 K5:K224">
    <cfRule type="cellIs" dxfId="9" priority="10" stopIfTrue="1" operator="equal">
      <formula>"Yes"</formula>
    </cfRule>
  </conditionalFormatting>
  <conditionalFormatting sqref="K225:K226">
    <cfRule type="cellIs" dxfId="8" priority="9" stopIfTrue="1" operator="equal">
      <formula>"Yes"</formula>
    </cfRule>
  </conditionalFormatting>
  <conditionalFormatting sqref="K294:K295">
    <cfRule type="cellIs" dxfId="7" priority="8" stopIfTrue="1" operator="equal">
      <formula>"Yes"</formula>
    </cfRule>
  </conditionalFormatting>
  <conditionalFormatting sqref="K461:K462">
    <cfRule type="cellIs" dxfId="6" priority="7" stopIfTrue="1" operator="equal">
      <formula>"Yes"</formula>
    </cfRule>
  </conditionalFormatting>
  <conditionalFormatting sqref="K533">
    <cfRule type="cellIs" dxfId="5" priority="6" stopIfTrue="1" operator="equal">
      <formula>"Yes"</formula>
    </cfRule>
  </conditionalFormatting>
  <conditionalFormatting sqref="K304:K305">
    <cfRule type="cellIs" dxfId="4" priority="5" stopIfTrue="1" operator="equal">
      <formula>"Yes"</formula>
    </cfRule>
  </conditionalFormatting>
  <conditionalFormatting sqref="K543:K544">
    <cfRule type="cellIs" dxfId="3" priority="4" stopIfTrue="1" operator="equal">
      <formula>"Yes"</formula>
    </cfRule>
  </conditionalFormatting>
  <conditionalFormatting sqref="K464:K465">
    <cfRule type="cellIs" dxfId="2" priority="3" stopIfTrue="1" operator="equal">
      <formula>"Yes"</formula>
    </cfRule>
  </conditionalFormatting>
  <conditionalFormatting sqref="K308:K309">
    <cfRule type="cellIs" dxfId="1" priority="2" stopIfTrue="1" operator="equal">
      <formula>"Yes"</formula>
    </cfRule>
  </conditionalFormatting>
  <conditionalFormatting sqref="K243:K244">
    <cfRule type="cellIs" dxfId="0" priority="1" stopIfTrue="1" operator="equal">
      <formula>"Yes"</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V313"/>
  <sheetViews>
    <sheetView zoomScale="70" zoomScaleNormal="70" workbookViewId="0">
      <pane xSplit="3" ySplit="1" topLeftCell="D299" activePane="bottomRight" state="frozen"/>
      <selection pane="topRight" activeCell="D1" sqref="D1"/>
      <selection pane="bottomLeft" activeCell="A2" sqref="A2"/>
      <selection pane="bottomRight" activeCell="B310" sqref="B310"/>
    </sheetView>
  </sheetViews>
  <sheetFormatPr defaultColWidth="8.75" defaultRowHeight="14.25"/>
  <cols>
    <col min="1" max="1" width="14.625" style="193" customWidth="1"/>
    <col min="2" max="2" width="14" style="193" customWidth="1"/>
    <col min="3" max="3" width="6.25" style="193" customWidth="1"/>
    <col min="4" max="4" width="50.875" style="193" customWidth="1"/>
    <col min="5" max="5" width="44.875" style="193" customWidth="1"/>
    <col min="6" max="11" width="40" style="193" customWidth="1"/>
    <col min="12" max="12" width="40" style="259" customWidth="1"/>
    <col min="13" max="13" width="40" style="47" customWidth="1"/>
    <col min="14" max="16384" width="8.75" style="47"/>
  </cols>
  <sheetData>
    <row r="1" spans="1:13">
      <c r="B1" s="193" t="s">
        <v>2717</v>
      </c>
      <c r="C1" s="193" t="s">
        <v>1184</v>
      </c>
      <c r="D1" s="193" t="s">
        <v>1503</v>
      </c>
      <c r="E1" s="195" t="s">
        <v>2718</v>
      </c>
      <c r="F1" s="195" t="s">
        <v>2719</v>
      </c>
      <c r="G1" s="193" t="s">
        <v>957</v>
      </c>
      <c r="H1" s="193" t="s">
        <v>958</v>
      </c>
      <c r="I1" s="193" t="s">
        <v>959</v>
      </c>
      <c r="J1" s="193" t="s">
        <v>960</v>
      </c>
      <c r="K1" s="193" t="s">
        <v>961</v>
      </c>
      <c r="L1" s="259" t="s">
        <v>962</v>
      </c>
      <c r="M1" s="47" t="s">
        <v>4277</v>
      </c>
    </row>
    <row r="2" spans="1:13" ht="114">
      <c r="A2" s="193" t="str">
        <f>B2&amp;C2</f>
        <v>InstructionsA1</v>
      </c>
      <c r="B2" s="193" t="s">
        <v>956</v>
      </c>
      <c r="C2" s="193" t="s">
        <v>1185</v>
      </c>
      <c r="D2" s="193" t="s">
        <v>4704</v>
      </c>
      <c r="E2" s="195" t="s">
        <v>1021</v>
      </c>
      <c r="F2" s="195" t="s">
        <v>1403</v>
      </c>
      <c r="G2" s="193" t="s">
        <v>628</v>
      </c>
      <c r="H2" s="193" t="s">
        <v>521</v>
      </c>
      <c r="I2" s="193" t="s">
        <v>216</v>
      </c>
      <c r="J2" s="193" t="s">
        <v>2595</v>
      </c>
      <c r="K2" s="260" t="s">
        <v>716</v>
      </c>
      <c r="L2" s="259" t="s">
        <v>98</v>
      </c>
      <c r="M2" s="193" t="s">
        <v>4278</v>
      </c>
    </row>
    <row r="3" spans="1:13" ht="28.5">
      <c r="A3" s="193" t="str">
        <f t="shared" ref="A3:A79" si="0">B3&amp;C3</f>
        <v>InstructionsA2</v>
      </c>
      <c r="B3" s="193" t="s">
        <v>956</v>
      </c>
      <c r="C3" s="193" t="s">
        <v>1186</v>
      </c>
      <c r="D3" s="193" t="s">
        <v>1493</v>
      </c>
      <c r="E3" s="193" t="s">
        <v>1022</v>
      </c>
      <c r="F3" s="195" t="s">
        <v>1993</v>
      </c>
      <c r="G3" s="193" t="s">
        <v>1932</v>
      </c>
      <c r="H3" s="193" t="s">
        <v>1493</v>
      </c>
      <c r="I3" s="193" t="s">
        <v>1933</v>
      </c>
      <c r="J3" s="193" t="s">
        <v>1934</v>
      </c>
      <c r="K3" s="261" t="s">
        <v>717</v>
      </c>
      <c r="L3" s="259" t="s">
        <v>2361</v>
      </c>
      <c r="M3" s="193" t="s">
        <v>4279</v>
      </c>
    </row>
    <row r="4" spans="1:13" ht="409.5">
      <c r="A4" s="193" t="str">
        <f t="shared" si="0"/>
        <v>InstructionsA3</v>
      </c>
      <c r="B4" s="193" t="s">
        <v>956</v>
      </c>
      <c r="C4" s="193" t="s">
        <v>1187</v>
      </c>
      <c r="D4" s="193" t="s">
        <v>4810</v>
      </c>
      <c r="E4" s="195" t="s">
        <v>4644</v>
      </c>
      <c r="F4" s="195" t="s">
        <v>4645</v>
      </c>
      <c r="G4" s="193" t="s">
        <v>4646</v>
      </c>
      <c r="H4" s="193" t="s">
        <v>4647</v>
      </c>
      <c r="I4" s="193" t="s">
        <v>4648</v>
      </c>
      <c r="J4" s="193" t="s">
        <v>4649</v>
      </c>
      <c r="K4" s="260" t="s">
        <v>4650</v>
      </c>
      <c r="L4" s="259" t="s">
        <v>4651</v>
      </c>
      <c r="M4" s="247" t="s">
        <v>4652</v>
      </c>
    </row>
    <row r="5" spans="1:13" ht="384.75">
      <c r="A5" s="193" t="str">
        <f t="shared" si="0"/>
        <v>InstructionsA4</v>
      </c>
      <c r="B5" s="193" t="s">
        <v>956</v>
      </c>
      <c r="C5" s="193" t="s">
        <v>1188</v>
      </c>
      <c r="D5" s="193" t="s">
        <v>1402</v>
      </c>
      <c r="E5" s="195" t="s">
        <v>2720</v>
      </c>
      <c r="F5" s="195" t="s">
        <v>1404</v>
      </c>
      <c r="G5" s="193" t="s">
        <v>629</v>
      </c>
      <c r="H5" s="195" t="s">
        <v>522</v>
      </c>
      <c r="I5" s="193" t="s">
        <v>428</v>
      </c>
      <c r="J5" s="193" t="s">
        <v>2596</v>
      </c>
      <c r="K5" s="260" t="s">
        <v>718</v>
      </c>
      <c r="L5" s="259" t="s">
        <v>156</v>
      </c>
      <c r="M5" s="193" t="s">
        <v>4280</v>
      </c>
    </row>
    <row r="6" spans="1:13" ht="71.25">
      <c r="A6" s="193" t="str">
        <f t="shared" si="0"/>
        <v>InstructionsA6</v>
      </c>
      <c r="B6" s="193" t="s">
        <v>956</v>
      </c>
      <c r="C6" s="193" t="s">
        <v>1189</v>
      </c>
      <c r="D6" s="193" t="s">
        <v>775</v>
      </c>
      <c r="E6" s="195" t="s">
        <v>1023</v>
      </c>
      <c r="F6" s="195" t="s">
        <v>1405</v>
      </c>
      <c r="G6" s="193" t="s">
        <v>1935</v>
      </c>
      <c r="H6" s="193" t="s">
        <v>523</v>
      </c>
      <c r="I6" s="193" t="s">
        <v>429</v>
      </c>
      <c r="J6" s="193" t="s">
        <v>2545</v>
      </c>
      <c r="K6" s="260" t="s">
        <v>719</v>
      </c>
      <c r="L6" s="259" t="s">
        <v>157</v>
      </c>
      <c r="M6" s="193" t="s">
        <v>4281</v>
      </c>
    </row>
    <row r="7" spans="1:13" ht="28.5">
      <c r="A7" s="193" t="str">
        <f t="shared" si="0"/>
        <v>InstructionsA7</v>
      </c>
      <c r="B7" s="193" t="s">
        <v>956</v>
      </c>
      <c r="C7" s="193" t="s">
        <v>1190</v>
      </c>
      <c r="D7" s="193" t="s">
        <v>4706</v>
      </c>
      <c r="E7" s="195" t="s">
        <v>1024</v>
      </c>
      <c r="F7" s="195" t="s">
        <v>1406</v>
      </c>
      <c r="G7" s="193" t="s">
        <v>1936</v>
      </c>
      <c r="H7" s="193" t="s">
        <v>963</v>
      </c>
      <c r="I7" s="193" t="s">
        <v>430</v>
      </c>
      <c r="J7" s="193" t="s">
        <v>2443</v>
      </c>
      <c r="K7" s="260" t="s">
        <v>720</v>
      </c>
      <c r="L7" s="259" t="s">
        <v>2362</v>
      </c>
      <c r="M7" s="193" t="s">
        <v>4282</v>
      </c>
    </row>
    <row r="8" spans="1:13" ht="86.25" customHeight="1">
      <c r="A8" s="193" t="str">
        <f t="shared" si="0"/>
        <v>InstructionsA8</v>
      </c>
      <c r="B8" s="193" t="s">
        <v>956</v>
      </c>
      <c r="C8" s="193" t="s">
        <v>1191</v>
      </c>
      <c r="D8" s="193" t="s">
        <v>4872</v>
      </c>
      <c r="E8" s="303" t="s">
        <v>4938</v>
      </c>
      <c r="F8" s="195" t="s">
        <v>4950</v>
      </c>
      <c r="G8" s="193" t="s">
        <v>4951</v>
      </c>
      <c r="H8" s="193" t="s">
        <v>4960</v>
      </c>
      <c r="I8" s="193" t="s">
        <v>4961</v>
      </c>
      <c r="J8" s="193" t="s">
        <v>4970</v>
      </c>
      <c r="K8" s="260" t="s">
        <v>4971</v>
      </c>
      <c r="L8" s="259" t="s">
        <v>4980</v>
      </c>
      <c r="M8" s="247" t="s">
        <v>4981</v>
      </c>
    </row>
    <row r="9" spans="1:13" ht="409.5">
      <c r="A9" s="193" t="str">
        <f t="shared" si="0"/>
        <v>InstructionsA9</v>
      </c>
      <c r="B9" s="193" t="s">
        <v>956</v>
      </c>
      <c r="C9" s="193" t="s">
        <v>2366</v>
      </c>
      <c r="D9" s="193" t="s">
        <v>4149</v>
      </c>
      <c r="E9" s="194" t="s">
        <v>2786</v>
      </c>
      <c r="F9" s="208" t="s">
        <v>4018</v>
      </c>
      <c r="G9" s="194" t="s">
        <v>4003</v>
      </c>
      <c r="H9" s="194" t="s">
        <v>2787</v>
      </c>
      <c r="I9" s="194" t="s">
        <v>2788</v>
      </c>
      <c r="J9" s="194" t="s">
        <v>2745</v>
      </c>
      <c r="K9" s="194" t="s">
        <v>2789</v>
      </c>
      <c r="L9" s="194" t="s">
        <v>2790</v>
      </c>
      <c r="M9" s="262" t="s">
        <v>4283</v>
      </c>
    </row>
    <row r="10" spans="1:13" ht="57">
      <c r="A10" s="193" t="str">
        <f t="shared" si="0"/>
        <v>InstructionsA10</v>
      </c>
      <c r="B10" s="193" t="s">
        <v>956</v>
      </c>
      <c r="C10" s="193" t="s">
        <v>2367</v>
      </c>
      <c r="D10" s="193" t="s">
        <v>784</v>
      </c>
      <c r="E10" s="195" t="s">
        <v>1025</v>
      </c>
      <c r="F10" s="195" t="s">
        <v>496</v>
      </c>
      <c r="G10" s="193" t="s">
        <v>1448</v>
      </c>
      <c r="H10" s="193" t="s">
        <v>524</v>
      </c>
      <c r="I10" s="193" t="s">
        <v>431</v>
      </c>
      <c r="J10" s="193" t="s">
        <v>2546</v>
      </c>
      <c r="K10" s="263" t="s">
        <v>721</v>
      </c>
      <c r="L10" s="259" t="s">
        <v>2445</v>
      </c>
      <c r="M10" s="193" t="s">
        <v>4284</v>
      </c>
    </row>
    <row r="11" spans="1:13" ht="57">
      <c r="A11" s="193" t="str">
        <f>B11&amp;C11</f>
        <v>InstructionsA11</v>
      </c>
      <c r="B11" s="193" t="s">
        <v>956</v>
      </c>
      <c r="C11" s="193" t="s">
        <v>2368</v>
      </c>
      <c r="D11" s="193" t="s">
        <v>785</v>
      </c>
      <c r="E11" s="195" t="s">
        <v>1026</v>
      </c>
      <c r="F11" s="195" t="s">
        <v>1407</v>
      </c>
      <c r="G11" s="193" t="s">
        <v>630</v>
      </c>
      <c r="H11" s="193" t="s">
        <v>800</v>
      </c>
      <c r="I11" s="193" t="s">
        <v>432</v>
      </c>
      <c r="J11" s="193" t="s">
        <v>2547</v>
      </c>
      <c r="K11" s="263" t="s">
        <v>722</v>
      </c>
      <c r="L11" s="259" t="s">
        <v>7</v>
      </c>
      <c r="M11" s="193" t="s">
        <v>4285</v>
      </c>
    </row>
    <row r="12" spans="1:13" ht="57">
      <c r="A12" s="193" t="str">
        <f t="shared" si="0"/>
        <v>InstructionsA12</v>
      </c>
      <c r="B12" s="193" t="s">
        <v>956</v>
      </c>
      <c r="C12" s="193" t="s">
        <v>2369</v>
      </c>
      <c r="D12" s="193" t="s">
        <v>786</v>
      </c>
      <c r="E12" s="195" t="s">
        <v>1027</v>
      </c>
      <c r="F12" s="195" t="s">
        <v>1408</v>
      </c>
      <c r="G12" s="193" t="s">
        <v>631</v>
      </c>
      <c r="H12" s="193" t="s">
        <v>801</v>
      </c>
      <c r="I12" s="193" t="s">
        <v>433</v>
      </c>
      <c r="J12" s="193" t="s">
        <v>2548</v>
      </c>
      <c r="K12" s="263" t="s">
        <v>172</v>
      </c>
      <c r="L12" s="259" t="s">
        <v>8</v>
      </c>
      <c r="M12" s="193" t="s">
        <v>4286</v>
      </c>
    </row>
    <row r="13" spans="1:13" ht="85.5">
      <c r="A13" s="193" t="str">
        <f t="shared" si="0"/>
        <v>InstructionsA13</v>
      </c>
      <c r="B13" s="193" t="s">
        <v>956</v>
      </c>
      <c r="C13" s="193" t="s">
        <v>2370</v>
      </c>
      <c r="D13" s="193" t="s">
        <v>776</v>
      </c>
      <c r="E13" s="195" t="s">
        <v>1028</v>
      </c>
      <c r="F13" s="195" t="s">
        <v>1409</v>
      </c>
      <c r="G13" s="193" t="s">
        <v>632</v>
      </c>
      <c r="H13" s="193" t="s">
        <v>802</v>
      </c>
      <c r="I13" s="193" t="s">
        <v>434</v>
      </c>
      <c r="J13" s="193" t="s">
        <v>2549</v>
      </c>
      <c r="K13" s="263" t="s">
        <v>171</v>
      </c>
      <c r="L13" s="259" t="s">
        <v>9</v>
      </c>
      <c r="M13" s="193" t="s">
        <v>4287</v>
      </c>
    </row>
    <row r="14" spans="1:13" ht="99.75">
      <c r="A14" s="193" t="str">
        <f t="shared" si="0"/>
        <v>InstructionsA14</v>
      </c>
      <c r="B14" s="193" t="s">
        <v>956</v>
      </c>
      <c r="C14" s="193" t="s">
        <v>2371</v>
      </c>
      <c r="D14" s="193" t="s">
        <v>777</v>
      </c>
      <c r="E14" s="195" t="s">
        <v>1029</v>
      </c>
      <c r="F14" s="195" t="s">
        <v>497</v>
      </c>
      <c r="G14" s="193" t="s">
        <v>633</v>
      </c>
      <c r="H14" s="193" t="s">
        <v>803</v>
      </c>
      <c r="I14" s="193" t="s">
        <v>435</v>
      </c>
      <c r="J14" s="193" t="s">
        <v>2597</v>
      </c>
      <c r="K14" s="263" t="s">
        <v>170</v>
      </c>
      <c r="L14" s="259" t="s">
        <v>10</v>
      </c>
      <c r="M14" s="193" t="s">
        <v>4288</v>
      </c>
    </row>
    <row r="15" spans="1:13" ht="42.75">
      <c r="A15" s="193" t="str">
        <f t="shared" si="0"/>
        <v>InstructionsA15</v>
      </c>
      <c r="B15" s="193" t="s">
        <v>956</v>
      </c>
      <c r="C15" s="193" t="s">
        <v>779</v>
      </c>
      <c r="D15" s="193" t="s">
        <v>778</v>
      </c>
      <c r="E15" s="195" t="s">
        <v>1030</v>
      </c>
      <c r="F15" s="195" t="s">
        <v>1410</v>
      </c>
      <c r="G15" s="193" t="s">
        <v>634</v>
      </c>
      <c r="H15" s="193" t="s">
        <v>804</v>
      </c>
      <c r="I15" s="193" t="s">
        <v>436</v>
      </c>
      <c r="J15" s="193" t="s">
        <v>2550</v>
      </c>
      <c r="K15" s="263" t="s">
        <v>169</v>
      </c>
      <c r="L15" s="259" t="s">
        <v>11</v>
      </c>
      <c r="M15" s="193" t="s">
        <v>4289</v>
      </c>
    </row>
    <row r="16" spans="1:13" ht="128.25">
      <c r="A16" s="193" t="str">
        <f t="shared" si="0"/>
        <v>InstructionsA16</v>
      </c>
      <c r="B16" s="193" t="s">
        <v>956</v>
      </c>
      <c r="C16" s="193" t="s">
        <v>2372</v>
      </c>
      <c r="D16" s="193" t="s">
        <v>787</v>
      </c>
      <c r="E16" s="195" t="s">
        <v>1031</v>
      </c>
      <c r="F16" s="195" t="s">
        <v>498</v>
      </c>
      <c r="G16" s="193" t="s">
        <v>635</v>
      </c>
      <c r="H16" s="193" t="s">
        <v>805</v>
      </c>
      <c r="I16" s="193" t="s">
        <v>437</v>
      </c>
      <c r="J16" s="193" t="s">
        <v>2551</v>
      </c>
      <c r="K16" s="264" t="s">
        <v>723</v>
      </c>
      <c r="L16" s="259" t="s">
        <v>12</v>
      </c>
      <c r="M16" s="193" t="s">
        <v>4290</v>
      </c>
    </row>
    <row r="17" spans="1:13" ht="42.75">
      <c r="A17" s="193" t="str">
        <f t="shared" si="0"/>
        <v>InstructionsA17</v>
      </c>
      <c r="B17" s="193" t="s">
        <v>956</v>
      </c>
      <c r="C17" s="193" t="s">
        <v>2373</v>
      </c>
      <c r="D17" s="193" t="s">
        <v>780</v>
      </c>
      <c r="E17" s="195" t="s">
        <v>1032</v>
      </c>
      <c r="F17" s="195" t="s">
        <v>1411</v>
      </c>
      <c r="G17" s="193" t="s">
        <v>636</v>
      </c>
      <c r="H17" s="193" t="s">
        <v>806</v>
      </c>
      <c r="I17" s="193" t="s">
        <v>438</v>
      </c>
      <c r="J17" s="193" t="s">
        <v>2552</v>
      </c>
      <c r="K17" s="264" t="s">
        <v>724</v>
      </c>
      <c r="L17" s="259" t="s">
        <v>13</v>
      </c>
      <c r="M17" s="193" t="s">
        <v>4291</v>
      </c>
    </row>
    <row r="18" spans="1:13" ht="99.75">
      <c r="A18" s="193" t="str">
        <f t="shared" si="0"/>
        <v>InstructionsA18</v>
      </c>
      <c r="B18" s="193" t="s">
        <v>956</v>
      </c>
      <c r="C18" s="193" t="s">
        <v>2374</v>
      </c>
      <c r="D18" s="193" t="s">
        <v>4114</v>
      </c>
      <c r="E18" s="195" t="s">
        <v>4116</v>
      </c>
      <c r="F18" s="195" t="s">
        <v>4117</v>
      </c>
      <c r="G18" s="193" t="s">
        <v>4118</v>
      </c>
      <c r="H18" s="193" t="s">
        <v>4119</v>
      </c>
      <c r="I18" s="193" t="s">
        <v>4120</v>
      </c>
      <c r="J18" s="193" t="s">
        <v>4121</v>
      </c>
      <c r="K18" s="264" t="s">
        <v>4122</v>
      </c>
      <c r="L18" s="259" t="s">
        <v>4123</v>
      </c>
      <c r="M18" s="193" t="s">
        <v>4292</v>
      </c>
    </row>
    <row r="19" spans="1:13" ht="42.75">
      <c r="A19" s="193" t="str">
        <f t="shared" si="0"/>
        <v>InstructionsA19</v>
      </c>
      <c r="B19" s="193" t="s">
        <v>956</v>
      </c>
      <c r="C19" s="193" t="s">
        <v>2375</v>
      </c>
      <c r="D19" s="193" t="s">
        <v>4115</v>
      </c>
      <c r="E19" s="195" t="s">
        <v>4131</v>
      </c>
      <c r="F19" s="195" t="s">
        <v>4130</v>
      </c>
      <c r="G19" s="193" t="s">
        <v>4129</v>
      </c>
      <c r="H19" s="193" t="s">
        <v>4128</v>
      </c>
      <c r="I19" s="193" t="s">
        <v>4127</v>
      </c>
      <c r="J19" s="193" t="s">
        <v>4126</v>
      </c>
      <c r="K19" s="264" t="s">
        <v>4125</v>
      </c>
      <c r="L19" s="259" t="s">
        <v>4124</v>
      </c>
      <c r="M19" s="193" t="s">
        <v>4293</v>
      </c>
    </row>
    <row r="20" spans="1:13" ht="57">
      <c r="A20" s="193" t="str">
        <f t="shared" si="0"/>
        <v>InstructionsA20</v>
      </c>
      <c r="B20" s="193" t="s">
        <v>956</v>
      </c>
      <c r="C20" s="193" t="s">
        <v>2376</v>
      </c>
      <c r="D20" s="193" t="s">
        <v>788</v>
      </c>
      <c r="E20" s="195" t="s">
        <v>1033</v>
      </c>
      <c r="F20" s="195" t="s">
        <v>1412</v>
      </c>
      <c r="G20" s="193" t="s">
        <v>637</v>
      </c>
      <c r="H20" s="193" t="s">
        <v>807</v>
      </c>
      <c r="I20" s="193" t="s">
        <v>439</v>
      </c>
      <c r="J20" s="193" t="s">
        <v>2553</v>
      </c>
      <c r="K20" s="264" t="s">
        <v>725</v>
      </c>
      <c r="L20" s="259" t="s">
        <v>14</v>
      </c>
      <c r="M20" s="193" t="s">
        <v>4294</v>
      </c>
    </row>
    <row r="21" spans="1:13" ht="57">
      <c r="A21" s="193" t="str">
        <f t="shared" si="0"/>
        <v>InstructionsA21</v>
      </c>
      <c r="B21" s="193" t="s">
        <v>956</v>
      </c>
      <c r="C21" s="193" t="s">
        <v>2377</v>
      </c>
      <c r="D21" s="193" t="s">
        <v>789</v>
      </c>
      <c r="E21" s="195" t="s">
        <v>1034</v>
      </c>
      <c r="F21" s="195" t="s">
        <v>1413</v>
      </c>
      <c r="G21" s="193" t="s">
        <v>638</v>
      </c>
      <c r="H21" s="193" t="s">
        <v>808</v>
      </c>
      <c r="I21" s="193" t="s">
        <v>440</v>
      </c>
      <c r="J21" s="193" t="s">
        <v>2554</v>
      </c>
      <c r="K21" s="264" t="s">
        <v>726</v>
      </c>
      <c r="L21" s="259" t="s">
        <v>15</v>
      </c>
      <c r="M21" s="193" t="s">
        <v>4295</v>
      </c>
    </row>
    <row r="22" spans="1:13" ht="54.75" customHeight="1">
      <c r="A22" s="193" t="str">
        <f t="shared" si="0"/>
        <v>InstructionsA23</v>
      </c>
      <c r="B22" s="193" t="s">
        <v>956</v>
      </c>
      <c r="C22" s="193" t="s">
        <v>2378</v>
      </c>
      <c r="D22" s="193" t="s">
        <v>781</v>
      </c>
      <c r="E22" s="195" t="s">
        <v>473</v>
      </c>
      <c r="F22" s="195" t="s">
        <v>1414</v>
      </c>
      <c r="G22" s="193" t="s">
        <v>639</v>
      </c>
      <c r="H22" s="193" t="s">
        <v>809</v>
      </c>
      <c r="I22" s="193" t="s">
        <v>441</v>
      </c>
      <c r="J22" s="193" t="s">
        <v>2555</v>
      </c>
      <c r="K22" s="264" t="s">
        <v>727</v>
      </c>
      <c r="L22" s="259" t="s">
        <v>16</v>
      </c>
      <c r="M22" s="193" t="s">
        <v>4296</v>
      </c>
    </row>
    <row r="23" spans="1:13" ht="191.25">
      <c r="A23" s="193" t="str">
        <f t="shared" si="0"/>
        <v>InstructionsA24</v>
      </c>
      <c r="B23" s="193" t="s">
        <v>956</v>
      </c>
      <c r="C23" s="193" t="s">
        <v>2379</v>
      </c>
      <c r="D23" s="194" t="s">
        <v>2746</v>
      </c>
      <c r="E23" s="194" t="s">
        <v>2747</v>
      </c>
      <c r="F23" s="208" t="s">
        <v>2748</v>
      </c>
      <c r="G23" s="194" t="s">
        <v>2791</v>
      </c>
      <c r="H23" s="194" t="s">
        <v>2792</v>
      </c>
      <c r="I23" s="194" t="s">
        <v>2793</v>
      </c>
      <c r="J23" s="194" t="s">
        <v>2794</v>
      </c>
      <c r="K23" s="194" t="s">
        <v>2795</v>
      </c>
      <c r="L23" s="194" t="s">
        <v>2796</v>
      </c>
      <c r="M23" s="194" t="s">
        <v>4297</v>
      </c>
    </row>
    <row r="24" spans="1:13" ht="165.75">
      <c r="A24" s="193" t="str">
        <f t="shared" si="0"/>
        <v>InstructionsA25</v>
      </c>
      <c r="B24" s="193" t="s">
        <v>956</v>
      </c>
      <c r="C24" s="193" t="s">
        <v>2380</v>
      </c>
      <c r="D24" s="194" t="s">
        <v>2752</v>
      </c>
      <c r="E24" s="194" t="s">
        <v>2753</v>
      </c>
      <c r="F24" s="208" t="s">
        <v>2754</v>
      </c>
      <c r="G24" s="194" t="s">
        <v>2797</v>
      </c>
      <c r="H24" s="194" t="s">
        <v>2798</v>
      </c>
      <c r="I24" s="194" t="s">
        <v>2799</v>
      </c>
      <c r="J24" s="194" t="s">
        <v>2800</v>
      </c>
      <c r="K24" s="194" t="s">
        <v>2801</v>
      </c>
      <c r="L24" s="194" t="s">
        <v>2802</v>
      </c>
      <c r="M24" s="194" t="s">
        <v>4298</v>
      </c>
    </row>
    <row r="25" spans="1:13" ht="409.5">
      <c r="A25" s="193" t="str">
        <f t="shared" si="0"/>
        <v>InstructionsA26</v>
      </c>
      <c r="B25" s="193" t="s">
        <v>956</v>
      </c>
      <c r="C25" s="193" t="s">
        <v>2381</v>
      </c>
      <c r="D25" s="194" t="s">
        <v>4700</v>
      </c>
      <c r="E25" s="245" t="s">
        <v>4653</v>
      </c>
      <c r="F25" s="208" t="s">
        <v>4654</v>
      </c>
      <c r="G25" s="245" t="s">
        <v>4655</v>
      </c>
      <c r="H25" s="245" t="s">
        <v>4656</v>
      </c>
      <c r="I25" s="245" t="s">
        <v>4657</v>
      </c>
      <c r="J25" s="245" t="s">
        <v>4658</v>
      </c>
      <c r="K25" s="245" t="s">
        <v>4659</v>
      </c>
      <c r="L25" s="245" t="s">
        <v>4660</v>
      </c>
      <c r="M25" s="246" t="s">
        <v>4661</v>
      </c>
    </row>
    <row r="26" spans="1:13" ht="57">
      <c r="A26" s="193" t="str">
        <f t="shared" si="0"/>
        <v>InstructionsA27</v>
      </c>
      <c r="B26" s="193" t="s">
        <v>956</v>
      </c>
      <c r="C26" s="193" t="s">
        <v>782</v>
      </c>
      <c r="D26" s="193" t="s">
        <v>783</v>
      </c>
      <c r="E26" s="195" t="s">
        <v>1035</v>
      </c>
      <c r="F26" s="195" t="s">
        <v>1415</v>
      </c>
      <c r="G26" s="193" t="s">
        <v>640</v>
      </c>
      <c r="H26" s="193" t="s">
        <v>810</v>
      </c>
      <c r="I26" s="193" t="s">
        <v>442</v>
      </c>
      <c r="J26" s="193" t="s">
        <v>2556</v>
      </c>
      <c r="K26" s="264" t="s">
        <v>728</v>
      </c>
      <c r="L26" s="259" t="s">
        <v>17</v>
      </c>
      <c r="M26" s="193" t="s">
        <v>4299</v>
      </c>
    </row>
    <row r="27" spans="1:13" ht="409.5">
      <c r="A27" s="193" t="str">
        <f t="shared" si="0"/>
        <v>InstructionsA28</v>
      </c>
      <c r="B27" s="193" t="s">
        <v>956</v>
      </c>
      <c r="C27" s="193" t="s">
        <v>1857</v>
      </c>
      <c r="D27" s="194" t="s">
        <v>4703</v>
      </c>
      <c r="E27" s="245" t="s">
        <v>4662</v>
      </c>
      <c r="F27" s="208" t="s">
        <v>4663</v>
      </c>
      <c r="G27" s="245" t="s">
        <v>4664</v>
      </c>
      <c r="H27" s="245" t="s">
        <v>4665</v>
      </c>
      <c r="I27" s="245" t="s">
        <v>4666</v>
      </c>
      <c r="J27" s="245" t="s">
        <v>4667</v>
      </c>
      <c r="K27" s="245" t="s">
        <v>4668</v>
      </c>
      <c r="L27" s="245" t="s">
        <v>4669</v>
      </c>
      <c r="M27" s="246" t="s">
        <v>4670</v>
      </c>
    </row>
    <row r="28" spans="1:13" ht="178.5">
      <c r="A28" s="193" t="str">
        <f>B28&amp;C28</f>
        <v>InstructionsA29</v>
      </c>
      <c r="B28" s="193" t="s">
        <v>956</v>
      </c>
      <c r="C28" s="193" t="s">
        <v>2382</v>
      </c>
      <c r="D28" s="194" t="s">
        <v>4881</v>
      </c>
      <c r="E28" s="194" t="s">
        <v>4882</v>
      </c>
      <c r="F28" s="208" t="s">
        <v>4883</v>
      </c>
      <c r="G28" s="194" t="s">
        <v>4884</v>
      </c>
      <c r="H28" s="194" t="s">
        <v>4885</v>
      </c>
      <c r="I28" s="194" t="s">
        <v>4886</v>
      </c>
      <c r="J28" s="194" t="s">
        <v>4887</v>
      </c>
      <c r="K28" s="194" t="s">
        <v>4888</v>
      </c>
      <c r="L28" s="194" t="s">
        <v>4889</v>
      </c>
      <c r="M28" s="246" t="s">
        <v>4890</v>
      </c>
    </row>
    <row r="29" spans="1:13" ht="280.5">
      <c r="A29" s="193" t="str">
        <f t="shared" si="0"/>
        <v>InstructionsA30</v>
      </c>
      <c r="B29" s="193" t="s">
        <v>956</v>
      </c>
      <c r="C29" s="193" t="s">
        <v>2383</v>
      </c>
      <c r="D29" s="194" t="s">
        <v>2755</v>
      </c>
      <c r="E29" s="194" t="s">
        <v>2756</v>
      </c>
      <c r="F29" s="208" t="s">
        <v>2757</v>
      </c>
      <c r="G29" s="194" t="s">
        <v>2803</v>
      </c>
      <c r="H29" s="194" t="s">
        <v>2804</v>
      </c>
      <c r="I29" s="194" t="s">
        <v>2805</v>
      </c>
      <c r="J29" s="194" t="s">
        <v>2758</v>
      </c>
      <c r="K29" s="194" t="s">
        <v>2806</v>
      </c>
      <c r="L29" s="194" t="s">
        <v>2807</v>
      </c>
      <c r="M29" s="194" t="s">
        <v>4300</v>
      </c>
    </row>
    <row r="30" spans="1:13" ht="255">
      <c r="A30" s="193" t="str">
        <f t="shared" si="0"/>
        <v>InstructionsA31</v>
      </c>
      <c r="B30" s="193" t="s">
        <v>956</v>
      </c>
      <c r="C30" s="193" t="s">
        <v>2384</v>
      </c>
      <c r="D30" s="194" t="s">
        <v>2759</v>
      </c>
      <c r="E30" s="194" t="s">
        <v>2760</v>
      </c>
      <c r="F30" s="208" t="s">
        <v>2761</v>
      </c>
      <c r="G30" s="194" t="s">
        <v>2808</v>
      </c>
      <c r="H30" s="194" t="s">
        <v>2809</v>
      </c>
      <c r="I30" s="194" t="s">
        <v>2810</v>
      </c>
      <c r="J30" s="194" t="s">
        <v>2762</v>
      </c>
      <c r="K30" s="194" t="s">
        <v>2811</v>
      </c>
      <c r="L30" s="194" t="s">
        <v>2812</v>
      </c>
      <c r="M30" s="194" t="s">
        <v>4301</v>
      </c>
    </row>
    <row r="31" spans="1:13" ht="153">
      <c r="A31" s="193" t="str">
        <f t="shared" si="0"/>
        <v>InstructionsA32</v>
      </c>
      <c r="B31" s="193" t="s">
        <v>956</v>
      </c>
      <c r="C31" s="193" t="s">
        <v>2385</v>
      </c>
      <c r="D31" s="194" t="s">
        <v>2763</v>
      </c>
      <c r="E31" s="194" t="s">
        <v>2764</v>
      </c>
      <c r="F31" s="208" t="s">
        <v>2765</v>
      </c>
      <c r="G31" s="194" t="s">
        <v>2813</v>
      </c>
      <c r="H31" s="194" t="s">
        <v>2814</v>
      </c>
      <c r="I31" s="194" t="s">
        <v>2815</v>
      </c>
      <c r="J31" s="194" t="s">
        <v>2816</v>
      </c>
      <c r="K31" s="194" t="s">
        <v>2817</v>
      </c>
      <c r="L31" s="194" t="s">
        <v>2818</v>
      </c>
      <c r="M31" s="194" t="s">
        <v>4302</v>
      </c>
    </row>
    <row r="32" spans="1:13" ht="153">
      <c r="A32" s="193" t="str">
        <f t="shared" si="0"/>
        <v>InstructionsA33</v>
      </c>
      <c r="B32" s="193" t="s">
        <v>956</v>
      </c>
      <c r="C32" s="193" t="s">
        <v>2386</v>
      </c>
      <c r="D32" s="194" t="s">
        <v>2766</v>
      </c>
      <c r="E32" s="194" t="s">
        <v>2767</v>
      </c>
      <c r="F32" s="208" t="s">
        <v>4019</v>
      </c>
      <c r="G32" s="194" t="s">
        <v>2819</v>
      </c>
      <c r="H32" s="194" t="s">
        <v>2820</v>
      </c>
      <c r="I32" s="194" t="s">
        <v>2821</v>
      </c>
      <c r="J32" s="194" t="s">
        <v>2822</v>
      </c>
      <c r="K32" s="194" t="s">
        <v>2823</v>
      </c>
      <c r="L32" s="194" t="s">
        <v>2824</v>
      </c>
      <c r="M32" s="194" t="s">
        <v>4303</v>
      </c>
    </row>
    <row r="33" spans="1:13" ht="57">
      <c r="A33" s="193" t="str">
        <f t="shared" si="0"/>
        <v>InstructionsA34</v>
      </c>
      <c r="B33" s="193" t="s">
        <v>956</v>
      </c>
      <c r="C33" s="193" t="s">
        <v>2387</v>
      </c>
      <c r="D33" s="193" t="s">
        <v>1920</v>
      </c>
      <c r="E33" s="193" t="s">
        <v>1803</v>
      </c>
      <c r="F33" s="195" t="s">
        <v>1804</v>
      </c>
      <c r="G33" s="193" t="s">
        <v>1805</v>
      </c>
      <c r="H33" s="193" t="s">
        <v>1806</v>
      </c>
      <c r="I33" s="193" t="s">
        <v>443</v>
      </c>
      <c r="J33" s="193" t="s">
        <v>1937</v>
      </c>
      <c r="K33" s="265" t="s">
        <v>729</v>
      </c>
      <c r="L33" s="259" t="s">
        <v>2446</v>
      </c>
      <c r="M33" s="193" t="s">
        <v>4304</v>
      </c>
    </row>
    <row r="34" spans="1:13" ht="114">
      <c r="A34" s="193" t="str">
        <f t="shared" si="0"/>
        <v>InstructionsA36</v>
      </c>
      <c r="B34" s="193" t="s">
        <v>956</v>
      </c>
      <c r="C34" s="193" t="s">
        <v>2388</v>
      </c>
      <c r="D34" s="193" t="s">
        <v>790</v>
      </c>
      <c r="E34" s="195" t="s">
        <v>1036</v>
      </c>
      <c r="F34" s="195" t="s">
        <v>1416</v>
      </c>
      <c r="G34" s="193" t="s">
        <v>641</v>
      </c>
      <c r="H34" s="266" t="s">
        <v>811</v>
      </c>
      <c r="I34" s="193" t="s">
        <v>444</v>
      </c>
      <c r="J34" s="193" t="s">
        <v>2557</v>
      </c>
      <c r="K34" s="264" t="s">
        <v>730</v>
      </c>
      <c r="L34" s="259" t="s">
        <v>18</v>
      </c>
      <c r="M34" s="193" t="s">
        <v>4305</v>
      </c>
    </row>
    <row r="35" spans="1:13" ht="370.5">
      <c r="A35" s="193" t="str">
        <f t="shared" si="0"/>
        <v>InstructionsA37</v>
      </c>
      <c r="B35" s="193" t="s">
        <v>956</v>
      </c>
      <c r="C35" s="193" t="s">
        <v>2389</v>
      </c>
      <c r="D35" s="193" t="s">
        <v>1902</v>
      </c>
      <c r="E35" s="195" t="s">
        <v>1037</v>
      </c>
      <c r="F35" s="195" t="s">
        <v>1417</v>
      </c>
      <c r="G35" s="193" t="s">
        <v>642</v>
      </c>
      <c r="H35" s="193" t="s">
        <v>2343</v>
      </c>
      <c r="I35" s="193" t="s">
        <v>445</v>
      </c>
      <c r="J35" s="193" t="s">
        <v>1938</v>
      </c>
      <c r="K35" s="196" t="s">
        <v>457</v>
      </c>
      <c r="L35" s="259" t="s">
        <v>2447</v>
      </c>
      <c r="M35" s="193" t="s">
        <v>4306</v>
      </c>
    </row>
    <row r="36" spans="1:13" ht="42.75">
      <c r="A36" s="193" t="str">
        <f t="shared" si="0"/>
        <v>InstructionsA38</v>
      </c>
      <c r="B36" s="193" t="s">
        <v>956</v>
      </c>
      <c r="C36" s="193" t="s">
        <v>2390</v>
      </c>
      <c r="D36" s="193" t="s">
        <v>798</v>
      </c>
      <c r="E36" s="195" t="s">
        <v>1038</v>
      </c>
      <c r="F36" s="195" t="s">
        <v>1418</v>
      </c>
      <c r="G36" s="193" t="s">
        <v>643</v>
      </c>
      <c r="H36" s="193" t="s">
        <v>2344</v>
      </c>
      <c r="I36" s="193" t="s">
        <v>446</v>
      </c>
      <c r="J36" s="193" t="s">
        <v>1939</v>
      </c>
      <c r="K36" s="260" t="s">
        <v>458</v>
      </c>
      <c r="L36" s="259" t="s">
        <v>2448</v>
      </c>
      <c r="M36" s="193" t="s">
        <v>4307</v>
      </c>
    </row>
    <row r="37" spans="1:13" ht="42.75">
      <c r="A37" s="193" t="str">
        <f t="shared" si="0"/>
        <v>InstructionsA39</v>
      </c>
      <c r="B37" s="193" t="s">
        <v>956</v>
      </c>
      <c r="C37" s="193" t="s">
        <v>2391</v>
      </c>
      <c r="D37" s="193" t="s">
        <v>797</v>
      </c>
      <c r="E37" s="195" t="s">
        <v>1039</v>
      </c>
      <c r="F37" s="195" t="s">
        <v>499</v>
      </c>
      <c r="G37" s="193" t="s">
        <v>2345</v>
      </c>
      <c r="H37" s="193" t="s">
        <v>1449</v>
      </c>
      <c r="I37" s="193" t="s">
        <v>447</v>
      </c>
      <c r="J37" s="193" t="s">
        <v>1940</v>
      </c>
      <c r="K37" s="260" t="s">
        <v>459</v>
      </c>
      <c r="L37" s="259" t="s">
        <v>2449</v>
      </c>
      <c r="M37" s="193" t="s">
        <v>4308</v>
      </c>
    </row>
    <row r="38" spans="1:13" ht="77.25" customHeight="1">
      <c r="A38" s="193" t="str">
        <f t="shared" si="0"/>
        <v>InstructionsA40</v>
      </c>
      <c r="B38" s="193" t="s">
        <v>956</v>
      </c>
      <c r="C38" s="193" t="s">
        <v>791</v>
      </c>
      <c r="D38" s="193" t="s">
        <v>4705</v>
      </c>
      <c r="E38" s="195" t="s">
        <v>1040</v>
      </c>
      <c r="F38" s="195" t="s">
        <v>500</v>
      </c>
      <c r="G38" s="193" t="s">
        <v>644</v>
      </c>
      <c r="H38" s="193" t="s">
        <v>812</v>
      </c>
      <c r="I38" s="193" t="s">
        <v>448</v>
      </c>
      <c r="J38" s="193" t="s">
        <v>2558</v>
      </c>
      <c r="K38" s="264" t="s">
        <v>460</v>
      </c>
      <c r="L38" s="259" t="s">
        <v>1120</v>
      </c>
      <c r="M38" s="193" t="s">
        <v>4309</v>
      </c>
    </row>
    <row r="39" spans="1:13" ht="102">
      <c r="A39" s="193" t="str">
        <f t="shared" si="0"/>
        <v>InstructionsA41</v>
      </c>
      <c r="B39" s="193" t="s">
        <v>956</v>
      </c>
      <c r="C39" s="193" t="s">
        <v>1858</v>
      </c>
      <c r="D39" s="194" t="s">
        <v>4148</v>
      </c>
      <c r="E39" s="194" t="s">
        <v>2768</v>
      </c>
      <c r="F39" s="208" t="s">
        <v>4023</v>
      </c>
      <c r="G39" s="194" t="s">
        <v>4004</v>
      </c>
      <c r="H39" s="194" t="s">
        <v>2825</v>
      </c>
      <c r="I39" s="194" t="s">
        <v>2826</v>
      </c>
      <c r="J39" s="194" t="s">
        <v>2827</v>
      </c>
      <c r="K39" s="194" t="s">
        <v>2828</v>
      </c>
      <c r="L39" s="194" t="s">
        <v>2829</v>
      </c>
      <c r="M39" s="194" t="s">
        <v>4310</v>
      </c>
    </row>
    <row r="40" spans="1:13" ht="409.5">
      <c r="A40" s="193" t="str">
        <f t="shared" si="0"/>
        <v>InstructionsA42</v>
      </c>
      <c r="B40" s="193" t="s">
        <v>956</v>
      </c>
      <c r="C40" s="193" t="s">
        <v>2392</v>
      </c>
      <c r="D40" s="193" t="s">
        <v>796</v>
      </c>
      <c r="E40" s="195" t="s">
        <v>2721</v>
      </c>
      <c r="F40" s="195" t="s">
        <v>501</v>
      </c>
      <c r="G40" s="193" t="s">
        <v>4005</v>
      </c>
      <c r="H40" s="266" t="s">
        <v>813</v>
      </c>
      <c r="I40" s="193" t="s">
        <v>449</v>
      </c>
      <c r="J40" s="193" t="s">
        <v>2559</v>
      </c>
      <c r="K40" s="196" t="s">
        <v>272</v>
      </c>
      <c r="L40" s="259" t="s">
        <v>1121</v>
      </c>
      <c r="M40" s="193" t="s">
        <v>4311</v>
      </c>
    </row>
    <row r="41" spans="1:13" ht="114.75">
      <c r="A41" s="193" t="str">
        <f t="shared" si="0"/>
        <v>InstructionsA43</v>
      </c>
      <c r="B41" s="193" t="s">
        <v>956</v>
      </c>
      <c r="C41" s="193" t="s">
        <v>2393</v>
      </c>
      <c r="D41" s="194" t="s">
        <v>2769</v>
      </c>
      <c r="E41" s="194" t="s">
        <v>2770</v>
      </c>
      <c r="F41" s="208" t="s">
        <v>2771</v>
      </c>
      <c r="G41" s="194" t="s">
        <v>2830</v>
      </c>
      <c r="H41" s="194" t="s">
        <v>2831</v>
      </c>
      <c r="I41" s="194" t="s">
        <v>2832</v>
      </c>
      <c r="J41" s="194" t="s">
        <v>2772</v>
      </c>
      <c r="K41" s="194" t="s">
        <v>2833</v>
      </c>
      <c r="L41" s="194" t="s">
        <v>2834</v>
      </c>
      <c r="M41" s="194" t="s">
        <v>4312</v>
      </c>
    </row>
    <row r="42" spans="1:13" ht="42.75">
      <c r="A42" s="193" t="str">
        <f t="shared" si="0"/>
        <v>InstructionsA44</v>
      </c>
      <c r="B42" s="193" t="s">
        <v>956</v>
      </c>
      <c r="C42" s="193" t="s">
        <v>2394</v>
      </c>
      <c r="D42" s="193" t="s">
        <v>795</v>
      </c>
      <c r="E42" s="195" t="s">
        <v>1041</v>
      </c>
      <c r="F42" s="195" t="s">
        <v>1419</v>
      </c>
      <c r="G42" s="193" t="s">
        <v>1450</v>
      </c>
      <c r="H42" s="193" t="s">
        <v>1451</v>
      </c>
      <c r="I42" s="193" t="s">
        <v>450</v>
      </c>
      <c r="J42" s="193" t="s">
        <v>2363</v>
      </c>
      <c r="K42" s="265" t="s">
        <v>273</v>
      </c>
      <c r="L42" s="259" t="s">
        <v>1122</v>
      </c>
      <c r="M42" s="193" t="s">
        <v>4313</v>
      </c>
    </row>
    <row r="43" spans="1:13" ht="270.75">
      <c r="A43" s="193" t="str">
        <f t="shared" si="0"/>
        <v>InstructionsA45</v>
      </c>
      <c r="B43" s="193" t="s">
        <v>956</v>
      </c>
      <c r="C43" s="193" t="s">
        <v>2395</v>
      </c>
      <c r="D43" s="193" t="s">
        <v>794</v>
      </c>
      <c r="E43" s="195" t="s">
        <v>2722</v>
      </c>
      <c r="F43" s="195" t="s">
        <v>502</v>
      </c>
      <c r="G43" s="193" t="s">
        <v>645</v>
      </c>
      <c r="H43" s="193" t="s">
        <v>707</v>
      </c>
      <c r="I43" s="193" t="s">
        <v>451</v>
      </c>
      <c r="J43" s="193" t="s">
        <v>2560</v>
      </c>
      <c r="K43" s="267" t="s">
        <v>274</v>
      </c>
      <c r="L43" s="259" t="s">
        <v>1123</v>
      </c>
      <c r="M43" s="193" t="s">
        <v>4314</v>
      </c>
    </row>
    <row r="44" spans="1:13" ht="71.25">
      <c r="A44" s="193" t="str">
        <f t="shared" si="0"/>
        <v>InstructionsA46</v>
      </c>
      <c r="B44" s="193" t="s">
        <v>956</v>
      </c>
      <c r="C44" s="193" t="s">
        <v>2396</v>
      </c>
      <c r="D44" s="193" t="s">
        <v>793</v>
      </c>
      <c r="E44" s="195" t="s">
        <v>1042</v>
      </c>
      <c r="F44" s="195" t="s">
        <v>1420</v>
      </c>
      <c r="G44" s="193" t="s">
        <v>1452</v>
      </c>
      <c r="H44" s="193" t="s">
        <v>814</v>
      </c>
      <c r="I44" s="193" t="s">
        <v>452</v>
      </c>
      <c r="J44" s="193" t="s">
        <v>2561</v>
      </c>
      <c r="K44" s="260" t="s">
        <v>275</v>
      </c>
      <c r="L44" s="259" t="s">
        <v>1124</v>
      </c>
      <c r="M44" s="193" t="s">
        <v>4315</v>
      </c>
    </row>
    <row r="45" spans="1:13" ht="99.75">
      <c r="A45" s="193" t="str">
        <f t="shared" si="0"/>
        <v>InstructionsA47</v>
      </c>
      <c r="B45" s="193" t="s">
        <v>956</v>
      </c>
      <c r="C45" s="193" t="s">
        <v>2397</v>
      </c>
      <c r="D45" s="193" t="s">
        <v>792</v>
      </c>
      <c r="E45" s="195" t="s">
        <v>1043</v>
      </c>
      <c r="F45" s="195" t="s">
        <v>1421</v>
      </c>
      <c r="G45" s="193" t="s">
        <v>1177</v>
      </c>
      <c r="H45" s="193" t="s">
        <v>815</v>
      </c>
      <c r="I45" s="193" t="s">
        <v>453</v>
      </c>
      <c r="J45" s="193" t="s">
        <v>2364</v>
      </c>
      <c r="K45" s="196" t="s">
        <v>276</v>
      </c>
      <c r="L45" s="259" t="s">
        <v>1125</v>
      </c>
      <c r="M45" s="193" t="s">
        <v>4316</v>
      </c>
    </row>
    <row r="46" spans="1:13" ht="57">
      <c r="A46" s="193" t="str">
        <f t="shared" si="0"/>
        <v>InstructionsA49</v>
      </c>
      <c r="B46" s="193" t="s">
        <v>956</v>
      </c>
      <c r="C46" s="193" t="s">
        <v>2398</v>
      </c>
      <c r="D46" s="193" t="s">
        <v>1903</v>
      </c>
      <c r="E46" s="195" t="s">
        <v>1044</v>
      </c>
      <c r="F46" s="195" t="s">
        <v>1422</v>
      </c>
      <c r="G46" s="193" t="s">
        <v>2353</v>
      </c>
      <c r="H46" s="193" t="s">
        <v>816</v>
      </c>
      <c r="I46" s="193" t="s">
        <v>454</v>
      </c>
      <c r="J46" s="193" t="s">
        <v>2562</v>
      </c>
      <c r="K46" s="260" t="s">
        <v>277</v>
      </c>
      <c r="L46" s="259" t="s">
        <v>1126</v>
      </c>
      <c r="M46" s="193" t="s">
        <v>4317</v>
      </c>
    </row>
    <row r="47" spans="1:13" ht="42.75">
      <c r="A47" s="193" t="str">
        <f t="shared" si="0"/>
        <v>InstructionsA50</v>
      </c>
      <c r="B47" s="193" t="s">
        <v>956</v>
      </c>
      <c r="C47" s="193" t="s">
        <v>2399</v>
      </c>
      <c r="D47" s="193" t="s">
        <v>1494</v>
      </c>
      <c r="E47" s="195" t="s">
        <v>1045</v>
      </c>
      <c r="F47" s="195" t="s">
        <v>1423</v>
      </c>
      <c r="G47" s="193" t="s">
        <v>2354</v>
      </c>
      <c r="H47" s="193" t="s">
        <v>817</v>
      </c>
      <c r="I47" s="193" t="s">
        <v>455</v>
      </c>
      <c r="J47" s="193" t="s">
        <v>2365</v>
      </c>
      <c r="K47" s="260" t="s">
        <v>278</v>
      </c>
      <c r="L47" s="259" t="s">
        <v>1127</v>
      </c>
      <c r="M47" s="193" t="s">
        <v>4318</v>
      </c>
    </row>
    <row r="48" spans="1:13" ht="128.25">
      <c r="A48" s="193" t="str">
        <f t="shared" si="0"/>
        <v>InstructionsA51</v>
      </c>
      <c r="B48" s="193" t="s">
        <v>956</v>
      </c>
      <c r="C48" s="193" t="s">
        <v>2400</v>
      </c>
      <c r="D48" s="193" t="s">
        <v>2335</v>
      </c>
      <c r="E48" s="195" t="s">
        <v>1046</v>
      </c>
      <c r="F48" s="195" t="s">
        <v>1424</v>
      </c>
      <c r="G48" s="193" t="s">
        <v>1182</v>
      </c>
      <c r="H48" s="193" t="s">
        <v>818</v>
      </c>
      <c r="I48" s="193" t="s">
        <v>456</v>
      </c>
      <c r="J48" s="193" t="s">
        <v>2563</v>
      </c>
      <c r="K48" s="260" t="s">
        <v>279</v>
      </c>
      <c r="L48" s="259" t="s">
        <v>1163</v>
      </c>
      <c r="M48" s="193" t="s">
        <v>4319</v>
      </c>
    </row>
    <row r="49" spans="1:256" ht="114">
      <c r="A49" s="248" t="s">
        <v>4699</v>
      </c>
      <c r="B49" s="248" t="s">
        <v>956</v>
      </c>
      <c r="C49" s="248" t="s">
        <v>2401</v>
      </c>
      <c r="D49" s="248" t="s">
        <v>4813</v>
      </c>
      <c r="E49" s="195" t="s">
        <v>4817</v>
      </c>
      <c r="F49" s="195" t="s">
        <v>4823</v>
      </c>
      <c r="G49" s="195" t="s">
        <v>4829</v>
      </c>
      <c r="H49" s="193" t="s">
        <v>4835</v>
      </c>
      <c r="I49" s="193" t="s">
        <v>4841</v>
      </c>
      <c r="J49" s="193" t="s">
        <v>4847</v>
      </c>
      <c r="K49" s="193" t="s">
        <v>4853</v>
      </c>
      <c r="L49" s="193" t="s">
        <v>4859</v>
      </c>
      <c r="M49" s="193" t="s">
        <v>4865</v>
      </c>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c r="GE49" s="133"/>
      <c r="GF49" s="133"/>
      <c r="GG49" s="133"/>
      <c r="GH49" s="133"/>
      <c r="GI49" s="133"/>
      <c r="GJ49" s="133"/>
      <c r="GK49" s="133"/>
      <c r="GL49" s="133"/>
      <c r="GM49" s="133"/>
      <c r="GN49" s="133"/>
      <c r="GO49" s="133"/>
      <c r="GP49" s="133"/>
      <c r="GQ49" s="133"/>
      <c r="GR49" s="133"/>
      <c r="GS49" s="133"/>
      <c r="GT49" s="133"/>
      <c r="GU49" s="133"/>
      <c r="GV49" s="133"/>
      <c r="GW49" s="133"/>
      <c r="GX49" s="133"/>
      <c r="GY49" s="133"/>
      <c r="GZ49" s="133"/>
      <c r="HA49" s="133"/>
      <c r="HB49" s="133"/>
      <c r="HC49" s="133"/>
      <c r="HD49" s="133"/>
      <c r="HE49" s="133"/>
      <c r="HF49" s="133"/>
      <c r="HG49" s="133"/>
      <c r="HH49" s="133"/>
      <c r="HI49" s="133"/>
      <c r="HJ49" s="133"/>
      <c r="HK49" s="133"/>
      <c r="HL49" s="133"/>
      <c r="HM49" s="133"/>
      <c r="HN49" s="133"/>
      <c r="HO49" s="133"/>
      <c r="HP49" s="133"/>
      <c r="HQ49" s="133"/>
      <c r="HR49" s="133"/>
      <c r="HS49" s="133"/>
      <c r="HT49" s="133"/>
      <c r="HU49" s="133"/>
      <c r="HV49" s="133"/>
      <c r="HW49" s="133"/>
      <c r="HX49" s="133"/>
      <c r="HY49" s="133"/>
      <c r="HZ49" s="133"/>
      <c r="IA49" s="133"/>
      <c r="IB49" s="133"/>
      <c r="IC49" s="133"/>
      <c r="ID49" s="133"/>
      <c r="IE49" s="133"/>
      <c r="IF49" s="133"/>
      <c r="IG49" s="133"/>
      <c r="IH49" s="133"/>
      <c r="II49" s="133"/>
      <c r="IJ49" s="133"/>
      <c r="IK49" s="133"/>
      <c r="IL49" s="133"/>
      <c r="IM49" s="133"/>
      <c r="IN49" s="133"/>
      <c r="IO49" s="133"/>
      <c r="IP49" s="133"/>
      <c r="IQ49" s="133"/>
      <c r="IR49" s="133"/>
      <c r="IS49" s="133"/>
      <c r="IT49" s="133"/>
      <c r="IU49" s="133"/>
      <c r="IV49" s="133"/>
    </row>
    <row r="50" spans="1:256" ht="71.25">
      <c r="A50" s="193" t="str">
        <f>B50&amp;C50</f>
        <v>InstructionsA53</v>
      </c>
      <c r="B50" s="193" t="s">
        <v>956</v>
      </c>
      <c r="C50" s="193" t="s">
        <v>2402</v>
      </c>
      <c r="D50" s="193" t="s">
        <v>4709</v>
      </c>
      <c r="E50" s="195" t="s">
        <v>4720</v>
      </c>
      <c r="F50" s="195" t="s">
        <v>4721</v>
      </c>
      <c r="G50" s="193" t="s">
        <v>4722</v>
      </c>
      <c r="H50" s="193" t="s">
        <v>4723</v>
      </c>
      <c r="I50" s="193" t="s">
        <v>4724</v>
      </c>
      <c r="J50" s="193" t="s">
        <v>4725</v>
      </c>
      <c r="K50" s="264" t="s">
        <v>4726</v>
      </c>
      <c r="L50" s="259" t="s">
        <v>4727</v>
      </c>
      <c r="M50" s="247" t="s">
        <v>4728</v>
      </c>
    </row>
    <row r="51" spans="1:256" ht="229.5">
      <c r="A51" s="193" t="str">
        <f t="shared" si="0"/>
        <v>InstructionsA54</v>
      </c>
      <c r="B51" s="193" t="s">
        <v>956</v>
      </c>
      <c r="C51" s="193" t="s">
        <v>2403</v>
      </c>
      <c r="D51" s="193" t="s">
        <v>4816</v>
      </c>
      <c r="E51" s="195" t="s">
        <v>4818</v>
      </c>
      <c r="F51" s="195" t="s">
        <v>4824</v>
      </c>
      <c r="G51" s="193" t="s">
        <v>4830</v>
      </c>
      <c r="H51" s="193" t="s">
        <v>4836</v>
      </c>
      <c r="I51" s="193" t="s">
        <v>4842</v>
      </c>
      <c r="J51" s="193" t="s">
        <v>4848</v>
      </c>
      <c r="K51" s="264" t="s">
        <v>4854</v>
      </c>
      <c r="L51" s="259" t="s">
        <v>4860</v>
      </c>
      <c r="M51" s="247" t="s">
        <v>4866</v>
      </c>
    </row>
    <row r="52" spans="1:256" ht="114">
      <c r="A52" s="193" t="str">
        <f t="shared" si="0"/>
        <v>InstructionsA55</v>
      </c>
      <c r="B52" s="193" t="s">
        <v>956</v>
      </c>
      <c r="C52" s="193" t="s">
        <v>2404</v>
      </c>
      <c r="D52" s="193" t="s">
        <v>4710</v>
      </c>
      <c r="E52" s="195" t="s">
        <v>4732</v>
      </c>
      <c r="F52" s="195" t="s">
        <v>4733</v>
      </c>
      <c r="G52" s="193" t="s">
        <v>4734</v>
      </c>
      <c r="H52" s="266" t="s">
        <v>4735</v>
      </c>
      <c r="I52" s="193" t="s">
        <v>4736</v>
      </c>
      <c r="J52" s="193" t="s">
        <v>4737</v>
      </c>
      <c r="K52" s="196" t="s">
        <v>4731</v>
      </c>
      <c r="L52" s="259" t="s">
        <v>4730</v>
      </c>
      <c r="M52" s="247" t="s">
        <v>4729</v>
      </c>
    </row>
    <row r="53" spans="1:256" ht="128.25">
      <c r="A53" s="193" t="str">
        <f t="shared" si="0"/>
        <v>InstructionsA56</v>
      </c>
      <c r="B53" s="193" t="s">
        <v>956</v>
      </c>
      <c r="C53" s="193" t="s">
        <v>2405</v>
      </c>
      <c r="D53" s="193" t="s">
        <v>4711</v>
      </c>
      <c r="E53" s="268" t="s">
        <v>4738</v>
      </c>
      <c r="F53" s="195" t="s">
        <v>4739</v>
      </c>
      <c r="G53" s="193" t="s">
        <v>4740</v>
      </c>
      <c r="H53" s="193" t="s">
        <v>4741</v>
      </c>
      <c r="I53" s="193" t="s">
        <v>4742</v>
      </c>
      <c r="J53" s="193" t="s">
        <v>4743</v>
      </c>
      <c r="K53" s="196" t="s">
        <v>4744</v>
      </c>
      <c r="L53" s="259" t="s">
        <v>4745</v>
      </c>
      <c r="M53" s="247" t="s">
        <v>4746</v>
      </c>
    </row>
    <row r="54" spans="1:256" ht="185.25">
      <c r="A54" s="193" t="str">
        <f>B54&amp;C54</f>
        <v>InstructionsA57</v>
      </c>
      <c r="B54" s="193" t="s">
        <v>956</v>
      </c>
      <c r="C54" s="193" t="s">
        <v>799</v>
      </c>
      <c r="D54" s="193" t="s">
        <v>4712</v>
      </c>
      <c r="E54" s="195" t="s">
        <v>4747</v>
      </c>
      <c r="F54" s="195" t="s">
        <v>4748</v>
      </c>
      <c r="G54" s="193" t="s">
        <v>4749</v>
      </c>
      <c r="H54" s="193" t="s">
        <v>4750</v>
      </c>
      <c r="I54" s="193" t="s">
        <v>4751</v>
      </c>
      <c r="J54" s="193" t="s">
        <v>4752</v>
      </c>
      <c r="K54" s="196" t="s">
        <v>4753</v>
      </c>
      <c r="L54" s="259" t="s">
        <v>4754</v>
      </c>
      <c r="M54" s="247" t="s">
        <v>4755</v>
      </c>
    </row>
    <row r="55" spans="1:256" ht="114">
      <c r="A55" s="193" t="str">
        <f>B55&amp;C55</f>
        <v>InstructionsA58</v>
      </c>
      <c r="B55" s="193" t="s">
        <v>956</v>
      </c>
      <c r="C55" s="193" t="s">
        <v>2406</v>
      </c>
      <c r="D55" s="193" t="s">
        <v>4713</v>
      </c>
      <c r="E55" s="195" t="s">
        <v>4756</v>
      </c>
      <c r="F55" s="195" t="s">
        <v>4757</v>
      </c>
      <c r="G55" s="193" t="s">
        <v>4758</v>
      </c>
      <c r="H55" s="193" t="s">
        <v>4759</v>
      </c>
      <c r="I55" s="193" t="s">
        <v>4760</v>
      </c>
      <c r="J55" s="193" t="s">
        <v>4761</v>
      </c>
      <c r="K55" s="196" t="s">
        <v>4762</v>
      </c>
      <c r="L55" s="259" t="s">
        <v>4763</v>
      </c>
      <c r="M55" s="247" t="s">
        <v>4764</v>
      </c>
    </row>
    <row r="56" spans="1:256" ht="63.75">
      <c r="A56" s="193" t="str">
        <f t="shared" si="0"/>
        <v>InstructionsA59</v>
      </c>
      <c r="B56" s="193" t="s">
        <v>956</v>
      </c>
      <c r="C56" s="193" t="s">
        <v>2407</v>
      </c>
      <c r="D56" s="194" t="s">
        <v>4714</v>
      </c>
      <c r="E56" s="194" t="s">
        <v>4796</v>
      </c>
      <c r="F56" s="208" t="s">
        <v>4765</v>
      </c>
      <c r="G56" s="194" t="s">
        <v>4766</v>
      </c>
      <c r="H56" s="194" t="s">
        <v>4767</v>
      </c>
      <c r="I56" s="194" t="s">
        <v>4768</v>
      </c>
      <c r="J56" s="194" t="s">
        <v>4769</v>
      </c>
      <c r="K56" s="194" t="s">
        <v>4770</v>
      </c>
      <c r="L56" s="194" t="s">
        <v>4771</v>
      </c>
      <c r="M56" s="246" t="s">
        <v>4772</v>
      </c>
    </row>
    <row r="57" spans="1:256" ht="63.75">
      <c r="A57" s="193" t="str">
        <f t="shared" si="0"/>
        <v>InstructionsA60</v>
      </c>
      <c r="B57" s="193" t="s">
        <v>956</v>
      </c>
      <c r="C57" s="193" t="s">
        <v>2408</v>
      </c>
      <c r="D57" s="194" t="s">
        <v>4715</v>
      </c>
      <c r="E57" s="194" t="s">
        <v>4797</v>
      </c>
      <c r="F57" s="208" t="s">
        <v>4773</v>
      </c>
      <c r="G57" s="194" t="s">
        <v>4774</v>
      </c>
      <c r="H57" s="194" t="s">
        <v>4775</v>
      </c>
      <c r="I57" s="194" t="s">
        <v>4776</v>
      </c>
      <c r="J57" s="194" t="s">
        <v>4777</v>
      </c>
      <c r="K57" s="194" t="s">
        <v>4778</v>
      </c>
      <c r="L57" s="194" t="s">
        <v>4779</v>
      </c>
      <c r="M57" s="246" t="s">
        <v>4780</v>
      </c>
    </row>
    <row r="58" spans="1:256" ht="63.75">
      <c r="A58" s="193" t="str">
        <f t="shared" si="0"/>
        <v>InstructionsA61</v>
      </c>
      <c r="B58" s="193" t="s">
        <v>956</v>
      </c>
      <c r="C58" s="193" t="s">
        <v>2409</v>
      </c>
      <c r="D58" s="194" t="s">
        <v>4716</v>
      </c>
      <c r="E58" s="194" t="s">
        <v>4798</v>
      </c>
      <c r="F58" s="208" t="s">
        <v>4781</v>
      </c>
      <c r="G58" s="194" t="s">
        <v>4782</v>
      </c>
      <c r="H58" s="194" t="s">
        <v>4783</v>
      </c>
      <c r="I58" s="194" t="s">
        <v>4784</v>
      </c>
      <c r="J58" s="194" t="s">
        <v>4785</v>
      </c>
      <c r="K58" s="194" t="s">
        <v>4786</v>
      </c>
      <c r="L58" s="194" t="s">
        <v>4787</v>
      </c>
      <c r="M58" s="246" t="s">
        <v>4788</v>
      </c>
    </row>
    <row r="59" spans="1:256" ht="409.5">
      <c r="A59" s="193" t="str">
        <f t="shared" si="0"/>
        <v>InstructionsA62</v>
      </c>
      <c r="B59" s="193" t="s">
        <v>956</v>
      </c>
      <c r="C59" s="193" t="s">
        <v>2410</v>
      </c>
      <c r="D59" s="193" t="s">
        <v>4717</v>
      </c>
      <c r="E59" s="195" t="s">
        <v>4799</v>
      </c>
      <c r="F59" s="195" t="s">
        <v>4800</v>
      </c>
      <c r="G59" s="259" t="s">
        <v>4789</v>
      </c>
      <c r="H59" s="193" t="s">
        <v>4790</v>
      </c>
      <c r="I59" s="193" t="s">
        <v>4791</v>
      </c>
      <c r="J59" s="193" t="s">
        <v>4792</v>
      </c>
      <c r="K59" s="196" t="s">
        <v>4793</v>
      </c>
      <c r="L59" s="259" t="s">
        <v>4794</v>
      </c>
      <c r="M59" s="247" t="s">
        <v>4795</v>
      </c>
    </row>
    <row r="60" spans="1:256" ht="142.5">
      <c r="A60" s="193" t="str">
        <f t="shared" si="0"/>
        <v>InstructionsA63</v>
      </c>
      <c r="B60" s="193" t="s">
        <v>956</v>
      </c>
      <c r="C60" s="193" t="s">
        <v>2411</v>
      </c>
      <c r="D60" s="193" t="s">
        <v>4718</v>
      </c>
      <c r="E60" s="195" t="s">
        <v>4801</v>
      </c>
      <c r="F60" s="195" t="s">
        <v>4802</v>
      </c>
      <c r="G60" s="193" t="s">
        <v>4803</v>
      </c>
      <c r="H60" s="193" t="s">
        <v>4804</v>
      </c>
      <c r="I60" s="193" t="s">
        <v>4805</v>
      </c>
      <c r="J60" s="193" t="s">
        <v>4806</v>
      </c>
      <c r="K60" s="196" t="s">
        <v>4807</v>
      </c>
      <c r="L60" s="259" t="s">
        <v>4808</v>
      </c>
      <c r="M60" s="247" t="s">
        <v>4809</v>
      </c>
    </row>
    <row r="61" spans="1:256" ht="242.25">
      <c r="A61" s="193" t="str">
        <f t="shared" si="0"/>
        <v>InstructionsA64</v>
      </c>
      <c r="B61" s="193" t="s">
        <v>956</v>
      </c>
      <c r="C61" s="193" t="s">
        <v>2412</v>
      </c>
      <c r="D61" s="193" t="s">
        <v>4933</v>
      </c>
      <c r="E61" s="195" t="s">
        <v>4671</v>
      </c>
      <c r="F61" s="195" t="s">
        <v>4672</v>
      </c>
      <c r="G61" s="193" t="s">
        <v>4673</v>
      </c>
      <c r="H61" s="193" t="s">
        <v>4674</v>
      </c>
      <c r="I61" s="193" t="s">
        <v>4675</v>
      </c>
      <c r="J61" s="193" t="s">
        <v>4676</v>
      </c>
      <c r="K61" s="196" t="s">
        <v>4677</v>
      </c>
      <c r="L61" s="259" t="s">
        <v>4678</v>
      </c>
      <c r="M61" s="247" t="s">
        <v>4679</v>
      </c>
    </row>
    <row r="62" spans="1:256" ht="270.75">
      <c r="A62" s="193" t="str">
        <f t="shared" si="0"/>
        <v>InstructionsA65</v>
      </c>
      <c r="B62" s="193" t="s">
        <v>956</v>
      </c>
      <c r="C62" s="193" t="s">
        <v>1192</v>
      </c>
      <c r="D62" s="193" t="s">
        <v>4934</v>
      </c>
      <c r="E62" s="195" t="s">
        <v>4680</v>
      </c>
      <c r="F62" s="195" t="s">
        <v>4681</v>
      </c>
      <c r="G62" s="193" t="s">
        <v>4682</v>
      </c>
      <c r="H62" s="193" t="s">
        <v>4683</v>
      </c>
      <c r="I62" s="193" t="s">
        <v>4684</v>
      </c>
      <c r="J62" s="193" t="s">
        <v>4685</v>
      </c>
      <c r="K62" s="196" t="s">
        <v>4686</v>
      </c>
      <c r="L62" s="259" t="s">
        <v>4687</v>
      </c>
      <c r="M62" s="247" t="s">
        <v>4688</v>
      </c>
    </row>
    <row r="63" spans="1:256" ht="142.5">
      <c r="A63" s="193" t="str">
        <f>B63&amp;C63</f>
        <v>InstructionsA66</v>
      </c>
      <c r="B63" s="193" t="s">
        <v>956</v>
      </c>
      <c r="C63" s="193" t="s">
        <v>1193</v>
      </c>
      <c r="D63" s="193" t="s">
        <v>1194</v>
      </c>
      <c r="E63" s="195" t="s">
        <v>1047</v>
      </c>
      <c r="F63" s="195" t="s">
        <v>503</v>
      </c>
      <c r="G63" s="193" t="s">
        <v>646</v>
      </c>
      <c r="H63" s="193" t="s">
        <v>819</v>
      </c>
      <c r="I63" s="193" t="s">
        <v>99</v>
      </c>
      <c r="J63" s="193" t="s">
        <v>2564</v>
      </c>
      <c r="K63" s="196" t="s">
        <v>280</v>
      </c>
      <c r="L63" s="259" t="s">
        <v>19</v>
      </c>
      <c r="M63" s="193" t="s">
        <v>4320</v>
      </c>
    </row>
    <row r="64" spans="1:256" ht="57">
      <c r="A64" s="193" t="str">
        <f t="shared" si="0"/>
        <v>InstructionsA67</v>
      </c>
      <c r="B64" s="193" t="s">
        <v>956</v>
      </c>
      <c r="C64" s="193" t="s">
        <v>1196</v>
      </c>
      <c r="D64" s="193" t="s">
        <v>1195</v>
      </c>
      <c r="E64" s="195" t="s">
        <v>4719</v>
      </c>
      <c r="F64" s="195" t="s">
        <v>820</v>
      </c>
      <c r="G64" s="193" t="s">
        <v>1197</v>
      </c>
      <c r="H64" s="193" t="s">
        <v>568</v>
      </c>
      <c r="I64" s="193" t="s">
        <v>100</v>
      </c>
      <c r="J64" s="193" t="s">
        <v>1198</v>
      </c>
      <c r="K64" s="196" t="s">
        <v>281</v>
      </c>
      <c r="L64" s="259" t="s">
        <v>1199</v>
      </c>
      <c r="M64" s="193" t="s">
        <v>4321</v>
      </c>
    </row>
    <row r="65" spans="1:13" ht="270.75">
      <c r="A65" s="193" t="str">
        <f>B65&amp;C65</f>
        <v>InstructionsA69</v>
      </c>
      <c r="B65" s="193" t="s">
        <v>956</v>
      </c>
      <c r="C65" s="193" t="s">
        <v>1200</v>
      </c>
      <c r="D65" s="193" t="s">
        <v>1208</v>
      </c>
      <c r="E65" s="195" t="s">
        <v>1048</v>
      </c>
      <c r="F65" s="195" t="s">
        <v>821</v>
      </c>
      <c r="G65" s="193" t="s">
        <v>647</v>
      </c>
      <c r="H65" s="195" t="s">
        <v>2723</v>
      </c>
      <c r="I65" s="193" t="s">
        <v>101</v>
      </c>
      <c r="J65" s="193" t="s">
        <v>2598</v>
      </c>
      <c r="K65" s="196" t="s">
        <v>282</v>
      </c>
      <c r="L65" s="259" t="s">
        <v>217</v>
      </c>
      <c r="M65" s="193" t="s">
        <v>4322</v>
      </c>
    </row>
    <row r="66" spans="1:13" ht="57">
      <c r="A66" s="193" t="str">
        <f t="shared" si="0"/>
        <v>InstructionsA71</v>
      </c>
      <c r="B66" s="193" t="s">
        <v>956</v>
      </c>
      <c r="C66" s="193" t="s">
        <v>1201</v>
      </c>
      <c r="D66" s="193" t="s">
        <v>1769</v>
      </c>
      <c r="E66" s="193" t="s">
        <v>2355</v>
      </c>
      <c r="F66" s="195" t="s">
        <v>2356</v>
      </c>
      <c r="G66" s="193" t="s">
        <v>1911</v>
      </c>
      <c r="H66" s="195" t="s">
        <v>569</v>
      </c>
      <c r="I66" s="193" t="s">
        <v>2357</v>
      </c>
      <c r="J66" s="193" t="s">
        <v>2358</v>
      </c>
      <c r="K66" s="196"/>
      <c r="L66" s="259" t="s">
        <v>2454</v>
      </c>
      <c r="M66" s="193" t="s">
        <v>4323</v>
      </c>
    </row>
    <row r="67" spans="1:13" ht="409.5">
      <c r="A67" s="193" t="str">
        <f t="shared" si="0"/>
        <v>InstructionsA72</v>
      </c>
      <c r="B67" s="193" t="s">
        <v>956</v>
      </c>
      <c r="C67" s="193" t="s">
        <v>1202</v>
      </c>
      <c r="D67" s="193" t="s">
        <v>1770</v>
      </c>
      <c r="E67" s="193" t="s">
        <v>1049</v>
      </c>
      <c r="F67" s="195" t="s">
        <v>2359</v>
      </c>
      <c r="G67" s="193" t="s">
        <v>1178</v>
      </c>
      <c r="H67" s="195" t="s">
        <v>191</v>
      </c>
      <c r="I67" s="193" t="s">
        <v>102</v>
      </c>
      <c r="J67" s="193" t="s">
        <v>2599</v>
      </c>
      <c r="K67" s="196" t="s">
        <v>283</v>
      </c>
      <c r="L67" s="259" t="s">
        <v>1183</v>
      </c>
      <c r="M67" s="193" t="s">
        <v>4324</v>
      </c>
    </row>
    <row r="68" spans="1:13" ht="242.25">
      <c r="A68" s="193" t="str">
        <f t="shared" si="0"/>
        <v>InstructionsA73</v>
      </c>
      <c r="B68" s="193" t="s">
        <v>956</v>
      </c>
      <c r="C68" s="193" t="s">
        <v>1203</v>
      </c>
      <c r="D68" s="193" t="s">
        <v>1793</v>
      </c>
      <c r="E68" s="193" t="s">
        <v>1050</v>
      </c>
      <c r="F68" s="195" t="s">
        <v>1454</v>
      </c>
      <c r="G68" s="193" t="s">
        <v>1455</v>
      </c>
      <c r="H68" s="195" t="s">
        <v>570</v>
      </c>
      <c r="I68" s="193" t="s">
        <v>103</v>
      </c>
      <c r="J68" s="193" t="s">
        <v>2600</v>
      </c>
      <c r="K68" s="196" t="s">
        <v>1677</v>
      </c>
      <c r="L68" s="259" t="s">
        <v>2455</v>
      </c>
      <c r="M68" s="193" t="s">
        <v>4325</v>
      </c>
    </row>
    <row r="69" spans="1:13" ht="213.75">
      <c r="A69" s="193" t="str">
        <f t="shared" si="0"/>
        <v>InstructionsA74</v>
      </c>
      <c r="B69" s="193" t="s">
        <v>956</v>
      </c>
      <c r="C69" s="193" t="s">
        <v>1204</v>
      </c>
      <c r="D69" s="193" t="s">
        <v>1794</v>
      </c>
      <c r="E69" s="193" t="s">
        <v>1051</v>
      </c>
      <c r="F69" s="195" t="s">
        <v>1456</v>
      </c>
      <c r="G69" s="193" t="s">
        <v>1457</v>
      </c>
      <c r="H69" s="195" t="s">
        <v>192</v>
      </c>
      <c r="I69" s="193" t="s">
        <v>104</v>
      </c>
      <c r="J69" s="193" t="s">
        <v>1458</v>
      </c>
      <c r="K69" s="196" t="s">
        <v>284</v>
      </c>
      <c r="L69" s="259" t="s">
        <v>2456</v>
      </c>
      <c r="M69" s="193" t="s">
        <v>4326</v>
      </c>
    </row>
    <row r="70" spans="1:13" ht="409.5">
      <c r="A70" s="193" t="str">
        <f t="shared" si="0"/>
        <v>InstructionsA75</v>
      </c>
      <c r="B70" s="193" t="s">
        <v>956</v>
      </c>
      <c r="C70" s="193" t="s">
        <v>1205</v>
      </c>
      <c r="D70" s="193" t="s">
        <v>1810</v>
      </c>
      <c r="E70" s="193" t="s">
        <v>1052</v>
      </c>
      <c r="F70" s="195" t="s">
        <v>1860</v>
      </c>
      <c r="G70" s="193" t="s">
        <v>1811</v>
      </c>
      <c r="H70" s="195" t="s">
        <v>193</v>
      </c>
      <c r="I70" s="193" t="s">
        <v>105</v>
      </c>
      <c r="J70" s="193" t="s">
        <v>2438</v>
      </c>
      <c r="K70" s="196" t="s">
        <v>1859</v>
      </c>
      <c r="L70" s="259" t="s">
        <v>2360</v>
      </c>
      <c r="M70" s="193" t="s">
        <v>4327</v>
      </c>
    </row>
    <row r="71" spans="1:13" ht="142.5">
      <c r="A71" s="193" t="str">
        <f t="shared" si="0"/>
        <v>InstructionsA76</v>
      </c>
      <c r="B71" s="193" t="s">
        <v>956</v>
      </c>
      <c r="C71" s="193" t="s">
        <v>1206</v>
      </c>
      <c r="D71" s="193" t="s">
        <v>1795</v>
      </c>
      <c r="E71" s="193" t="s">
        <v>1053</v>
      </c>
      <c r="F71" s="195" t="s">
        <v>1861</v>
      </c>
      <c r="G71" s="193" t="s">
        <v>1459</v>
      </c>
      <c r="H71" s="195" t="s">
        <v>194</v>
      </c>
      <c r="I71" s="193" t="s">
        <v>106</v>
      </c>
      <c r="J71" s="193" t="s">
        <v>2601</v>
      </c>
      <c r="K71" s="196" t="s">
        <v>2280</v>
      </c>
      <c r="L71" s="259" t="s">
        <v>2457</v>
      </c>
      <c r="M71" s="193" t="s">
        <v>4328</v>
      </c>
    </row>
    <row r="72" spans="1:13" ht="57">
      <c r="A72" s="193" t="str">
        <f t="shared" si="0"/>
        <v>InstructionsA77</v>
      </c>
      <c r="B72" s="193" t="s">
        <v>956</v>
      </c>
      <c r="C72" s="193" t="s">
        <v>1207</v>
      </c>
      <c r="D72" s="193" t="s">
        <v>1796</v>
      </c>
      <c r="E72" s="193" t="s">
        <v>1460</v>
      </c>
      <c r="F72" s="195" t="s">
        <v>1461</v>
      </c>
      <c r="G72" s="193" t="s">
        <v>1462</v>
      </c>
      <c r="H72" s="195" t="s">
        <v>195</v>
      </c>
      <c r="I72" s="193" t="s">
        <v>107</v>
      </c>
      <c r="J72" s="193" t="s">
        <v>1941</v>
      </c>
      <c r="K72" s="196" t="s">
        <v>2281</v>
      </c>
      <c r="L72" s="259" t="s">
        <v>2458</v>
      </c>
      <c r="M72" s="193" t="s">
        <v>4329</v>
      </c>
    </row>
    <row r="73" spans="1:13">
      <c r="A73" s="193" t="str">
        <f t="shared" si="0"/>
        <v>DefinitionsB2</v>
      </c>
      <c r="B73" s="193" t="s">
        <v>1812</v>
      </c>
      <c r="C73" s="193" t="s">
        <v>1862</v>
      </c>
      <c r="D73" s="193" t="s">
        <v>1942</v>
      </c>
      <c r="E73" s="193" t="s">
        <v>1507</v>
      </c>
      <c r="F73" s="195" t="s">
        <v>1994</v>
      </c>
      <c r="G73" s="193" t="s">
        <v>1512</v>
      </c>
      <c r="H73" s="195" t="s">
        <v>1942</v>
      </c>
      <c r="I73" s="193" t="s">
        <v>108</v>
      </c>
      <c r="J73" s="193" t="s">
        <v>1943</v>
      </c>
      <c r="K73" s="196" t="s">
        <v>2282</v>
      </c>
      <c r="L73" s="259" t="s">
        <v>1128</v>
      </c>
      <c r="M73" s="193" t="s">
        <v>4330</v>
      </c>
    </row>
    <row r="74" spans="1:13" ht="27">
      <c r="A74" s="193" t="str">
        <f>B74&amp;C74</f>
        <v>DefinitionsB3</v>
      </c>
      <c r="B74" s="193" t="s">
        <v>1812</v>
      </c>
      <c r="C74" s="193" t="s">
        <v>1813</v>
      </c>
      <c r="D74" s="193" t="s">
        <v>1873</v>
      </c>
      <c r="E74" s="195" t="s">
        <v>1054</v>
      </c>
      <c r="F74" s="195" t="s">
        <v>1873</v>
      </c>
      <c r="G74" s="193" t="s">
        <v>1873</v>
      </c>
      <c r="H74" s="195" t="s">
        <v>1873</v>
      </c>
      <c r="I74" s="193" t="s">
        <v>1873</v>
      </c>
      <c r="J74" s="193" t="s">
        <v>1873</v>
      </c>
      <c r="K74" s="196" t="s">
        <v>1873</v>
      </c>
      <c r="L74" s="259" t="s">
        <v>1873</v>
      </c>
      <c r="M74" s="193" t="s">
        <v>4331</v>
      </c>
    </row>
    <row r="75" spans="1:13">
      <c r="A75" s="193" t="str">
        <f t="shared" si="0"/>
        <v>DefinitionsB4</v>
      </c>
      <c r="B75" s="193" t="s">
        <v>1812</v>
      </c>
      <c r="C75" s="193" t="s">
        <v>1814</v>
      </c>
      <c r="D75" s="193" t="s">
        <v>1875</v>
      </c>
      <c r="E75" s="195" t="s">
        <v>1055</v>
      </c>
      <c r="F75" s="195" t="s">
        <v>822</v>
      </c>
      <c r="G75" s="193" t="s">
        <v>648</v>
      </c>
      <c r="H75" s="195" t="s">
        <v>181</v>
      </c>
      <c r="I75" s="193" t="s">
        <v>109</v>
      </c>
      <c r="J75" s="193" t="s">
        <v>2565</v>
      </c>
      <c r="K75" s="196" t="s">
        <v>285</v>
      </c>
      <c r="L75" s="259" t="s">
        <v>218</v>
      </c>
      <c r="M75" s="193" t="s">
        <v>4332</v>
      </c>
    </row>
    <row r="76" spans="1:13" ht="28.5">
      <c r="A76" s="193" t="str">
        <f t="shared" si="0"/>
        <v>DefinitionsB5</v>
      </c>
      <c r="B76" s="193" t="s">
        <v>1812</v>
      </c>
      <c r="C76" s="193" t="s">
        <v>1815</v>
      </c>
      <c r="D76" s="193" t="s">
        <v>1877</v>
      </c>
      <c r="E76" s="195" t="s">
        <v>1056</v>
      </c>
      <c r="F76" s="195" t="s">
        <v>1944</v>
      </c>
      <c r="G76" s="193" t="s">
        <v>1179</v>
      </c>
      <c r="H76" s="193" t="s">
        <v>571</v>
      </c>
      <c r="I76" s="193" t="s">
        <v>110</v>
      </c>
      <c r="J76" s="193" t="s">
        <v>142</v>
      </c>
      <c r="K76" s="196" t="s">
        <v>2283</v>
      </c>
      <c r="L76" s="259" t="s">
        <v>1129</v>
      </c>
      <c r="M76" s="193" t="s">
        <v>4333</v>
      </c>
    </row>
    <row r="77" spans="1:13" ht="28.5">
      <c r="A77" s="193" t="str">
        <f t="shared" si="0"/>
        <v>DefinitionsB6</v>
      </c>
      <c r="B77" s="193" t="s">
        <v>1812</v>
      </c>
      <c r="C77" s="193" t="s">
        <v>1816</v>
      </c>
      <c r="D77" s="193" t="s">
        <v>1878</v>
      </c>
      <c r="E77" s="195" t="s">
        <v>1057</v>
      </c>
      <c r="F77" s="195" t="s">
        <v>2009</v>
      </c>
      <c r="G77" s="193" t="s">
        <v>1180</v>
      </c>
      <c r="H77" s="195" t="s">
        <v>572</v>
      </c>
      <c r="I77" s="193" t="s">
        <v>111</v>
      </c>
      <c r="J77" s="193" t="s">
        <v>143</v>
      </c>
      <c r="K77" s="196" t="s">
        <v>2284</v>
      </c>
      <c r="L77" s="259" t="s">
        <v>1130</v>
      </c>
      <c r="M77" s="193" t="s">
        <v>4334</v>
      </c>
    </row>
    <row r="78" spans="1:13" ht="28.5">
      <c r="A78" s="193" t="str">
        <f t="shared" si="0"/>
        <v>DefinitionsB7</v>
      </c>
      <c r="B78" s="193" t="s">
        <v>1812</v>
      </c>
      <c r="C78" s="193" t="s">
        <v>1817</v>
      </c>
      <c r="D78" s="193" t="s">
        <v>1880</v>
      </c>
      <c r="E78" s="195" t="s">
        <v>1058</v>
      </c>
      <c r="F78" s="195" t="s">
        <v>823</v>
      </c>
      <c r="G78" s="193" t="s">
        <v>649</v>
      </c>
      <c r="H78" s="195" t="s">
        <v>573</v>
      </c>
      <c r="I78" s="193" t="s">
        <v>112</v>
      </c>
      <c r="J78" s="193" t="s">
        <v>144</v>
      </c>
      <c r="K78" s="196" t="s">
        <v>286</v>
      </c>
      <c r="L78" s="259" t="s">
        <v>219</v>
      </c>
      <c r="M78" s="193" t="s">
        <v>4335</v>
      </c>
    </row>
    <row r="79" spans="1:13" ht="27">
      <c r="A79" s="193" t="str">
        <f t="shared" si="0"/>
        <v>DefinitionsB8</v>
      </c>
      <c r="B79" s="193" t="s">
        <v>1812</v>
      </c>
      <c r="C79" s="193" t="s">
        <v>1818</v>
      </c>
      <c r="D79" s="193" t="s">
        <v>1499</v>
      </c>
      <c r="E79" s="195" t="s">
        <v>1059</v>
      </c>
      <c r="F79" s="195" t="s">
        <v>2010</v>
      </c>
      <c r="G79" s="193" t="s">
        <v>1181</v>
      </c>
      <c r="H79" s="193" t="s">
        <v>1945</v>
      </c>
      <c r="I79" s="193" t="s">
        <v>113</v>
      </c>
      <c r="J79" s="193" t="s">
        <v>2442</v>
      </c>
      <c r="K79" s="196" t="s">
        <v>2285</v>
      </c>
      <c r="L79" s="259" t="s">
        <v>1131</v>
      </c>
      <c r="M79" s="193" t="s">
        <v>4336</v>
      </c>
    </row>
    <row r="80" spans="1:13">
      <c r="A80" s="193" t="str">
        <f>B80&amp;C80</f>
        <v>DefinitionsB9</v>
      </c>
      <c r="B80" s="193" t="s">
        <v>1812</v>
      </c>
      <c r="C80" s="193" t="s">
        <v>1819</v>
      </c>
      <c r="D80" s="193" t="s">
        <v>1882</v>
      </c>
      <c r="E80" s="195" t="s">
        <v>1060</v>
      </c>
      <c r="F80" s="195" t="s">
        <v>824</v>
      </c>
      <c r="G80" s="193" t="s">
        <v>650</v>
      </c>
      <c r="H80" s="193" t="s">
        <v>574</v>
      </c>
      <c r="I80" s="193" t="s">
        <v>114</v>
      </c>
      <c r="J80" s="193" t="s">
        <v>2566</v>
      </c>
      <c r="K80" s="196" t="s">
        <v>287</v>
      </c>
      <c r="L80" s="259" t="s">
        <v>220</v>
      </c>
      <c r="M80" s="193" t="s">
        <v>4337</v>
      </c>
    </row>
    <row r="81" spans="1:13" ht="28.5">
      <c r="A81" s="193" t="str">
        <f t="shared" ref="A81:A168" si="1">B81&amp;C81</f>
        <v>DefinitionsB10</v>
      </c>
      <c r="B81" s="193" t="s">
        <v>1812</v>
      </c>
      <c r="C81" s="193" t="s">
        <v>1820</v>
      </c>
      <c r="D81" s="193" t="s">
        <v>1884</v>
      </c>
      <c r="E81" s="195" t="s">
        <v>1061</v>
      </c>
      <c r="F81" s="195" t="s">
        <v>825</v>
      </c>
      <c r="G81" s="193" t="s">
        <v>1946</v>
      </c>
      <c r="H81" s="193" t="s">
        <v>1947</v>
      </c>
      <c r="I81" s="193" t="s">
        <v>115</v>
      </c>
      <c r="J81" s="193" t="s">
        <v>145</v>
      </c>
      <c r="K81" s="196" t="s">
        <v>288</v>
      </c>
      <c r="L81" s="259" t="s">
        <v>1132</v>
      </c>
      <c r="M81" s="193" t="s">
        <v>4338</v>
      </c>
    </row>
    <row r="82" spans="1:13" ht="40.5">
      <c r="A82" s="193" t="str">
        <f t="shared" si="1"/>
        <v>DefinitionsB11</v>
      </c>
      <c r="B82" s="193" t="s">
        <v>1812</v>
      </c>
      <c r="C82" s="193" t="s">
        <v>1821</v>
      </c>
      <c r="D82" s="193" t="s">
        <v>1511</v>
      </c>
      <c r="E82" s="193" t="s">
        <v>1062</v>
      </c>
      <c r="F82" s="195" t="s">
        <v>826</v>
      </c>
      <c r="G82" s="193" t="s">
        <v>1511</v>
      </c>
      <c r="H82" s="193" t="s">
        <v>1511</v>
      </c>
      <c r="I82" s="193" t="s">
        <v>1511</v>
      </c>
      <c r="J82" s="193" t="s">
        <v>1511</v>
      </c>
      <c r="K82" s="196" t="s">
        <v>1511</v>
      </c>
      <c r="L82" s="259" t="s">
        <v>1511</v>
      </c>
      <c r="M82" s="193" t="s">
        <v>4339</v>
      </c>
    </row>
    <row r="83" spans="1:13">
      <c r="A83" s="193" t="str">
        <f t="shared" si="1"/>
        <v>DefinitionsB12</v>
      </c>
      <c r="B83" s="193" t="s">
        <v>1812</v>
      </c>
      <c r="C83" s="193" t="s">
        <v>1822</v>
      </c>
      <c r="D83" s="193" t="s">
        <v>1500</v>
      </c>
      <c r="E83" s="193" t="s">
        <v>1063</v>
      </c>
      <c r="F83" s="195" t="s">
        <v>1948</v>
      </c>
      <c r="G83" s="193" t="s">
        <v>1949</v>
      </c>
      <c r="H83" s="193" t="s">
        <v>1950</v>
      </c>
      <c r="I83" s="193" t="s">
        <v>1950</v>
      </c>
      <c r="J83" s="193" t="s">
        <v>2567</v>
      </c>
      <c r="K83" s="196" t="s">
        <v>1500</v>
      </c>
      <c r="L83" s="259" t="s">
        <v>1950</v>
      </c>
      <c r="M83" s="193" t="s">
        <v>4340</v>
      </c>
    </row>
    <row r="84" spans="1:13" ht="27">
      <c r="A84" s="193" t="str">
        <f t="shared" si="1"/>
        <v>DefinitionsB13</v>
      </c>
      <c r="B84" s="193" t="s">
        <v>1812</v>
      </c>
      <c r="C84" s="193" t="s">
        <v>1823</v>
      </c>
      <c r="D84" s="193" t="s">
        <v>1886</v>
      </c>
      <c r="E84" s="193" t="s">
        <v>1064</v>
      </c>
      <c r="F84" s="195" t="s">
        <v>2011</v>
      </c>
      <c r="G84" s="193" t="s">
        <v>1501</v>
      </c>
      <c r="H84" s="193" t="s">
        <v>1951</v>
      </c>
      <c r="I84" s="193" t="s">
        <v>1952</v>
      </c>
      <c r="J84" s="193" t="s">
        <v>2568</v>
      </c>
      <c r="K84" s="196" t="s">
        <v>289</v>
      </c>
      <c r="L84" s="259" t="s">
        <v>1133</v>
      </c>
      <c r="M84" s="193" t="s">
        <v>4341</v>
      </c>
    </row>
    <row r="85" spans="1:13">
      <c r="A85" s="193" t="str">
        <f t="shared" si="1"/>
        <v>DefinitionsB14</v>
      </c>
      <c r="B85" s="193" t="s">
        <v>1812</v>
      </c>
      <c r="C85" s="193" t="s">
        <v>1824</v>
      </c>
      <c r="D85" s="193" t="s">
        <v>1495</v>
      </c>
      <c r="E85" s="193" t="s">
        <v>1953</v>
      </c>
      <c r="F85" s="195" t="s">
        <v>1495</v>
      </c>
      <c r="G85" s="193" t="s">
        <v>1495</v>
      </c>
      <c r="H85" s="193" t="s">
        <v>1495</v>
      </c>
      <c r="I85" s="193" t="s">
        <v>1495</v>
      </c>
      <c r="J85" s="193" t="s">
        <v>1495</v>
      </c>
      <c r="K85" s="196" t="s">
        <v>1495</v>
      </c>
      <c r="L85" s="259" t="s">
        <v>1495</v>
      </c>
      <c r="M85" s="193" t="s">
        <v>4342</v>
      </c>
    </row>
    <row r="86" spans="1:13">
      <c r="A86" s="193" t="str">
        <f t="shared" si="1"/>
        <v>DefinitionsB15</v>
      </c>
      <c r="B86" s="193" t="s">
        <v>1812</v>
      </c>
      <c r="C86" s="193" t="s">
        <v>1825</v>
      </c>
      <c r="D86" s="193" t="s">
        <v>1496</v>
      </c>
      <c r="E86" s="193" t="s">
        <v>1065</v>
      </c>
      <c r="F86" s="195" t="s">
        <v>1510</v>
      </c>
      <c r="G86" s="193" t="s">
        <v>1510</v>
      </c>
      <c r="H86" s="193" t="s">
        <v>1510</v>
      </c>
      <c r="I86" s="193" t="s">
        <v>116</v>
      </c>
      <c r="J86" s="193" t="s">
        <v>1510</v>
      </c>
      <c r="K86" s="196" t="s">
        <v>1496</v>
      </c>
      <c r="L86" s="259" t="s">
        <v>1510</v>
      </c>
      <c r="M86" s="193" t="s">
        <v>4343</v>
      </c>
    </row>
    <row r="87" spans="1:13" ht="28.5">
      <c r="A87" s="193" t="str">
        <f t="shared" si="1"/>
        <v>DefinitionsB16</v>
      </c>
      <c r="B87" s="193" t="s">
        <v>1812</v>
      </c>
      <c r="C87" s="193" t="s">
        <v>1826</v>
      </c>
      <c r="D87" s="193" t="s">
        <v>1893</v>
      </c>
      <c r="E87" s="195" t="s">
        <v>1954</v>
      </c>
      <c r="F87" s="195" t="s">
        <v>1955</v>
      </c>
      <c r="G87" s="193" t="s">
        <v>651</v>
      </c>
      <c r="H87" s="193" t="s">
        <v>1956</v>
      </c>
      <c r="I87" s="193" t="s">
        <v>117</v>
      </c>
      <c r="J87" s="193" t="s">
        <v>146</v>
      </c>
      <c r="K87" s="196" t="s">
        <v>290</v>
      </c>
      <c r="L87" s="259" t="s">
        <v>1134</v>
      </c>
      <c r="M87" s="193" t="s">
        <v>4344</v>
      </c>
    </row>
    <row r="88" spans="1:13" ht="28.5">
      <c r="A88" s="193" t="str">
        <f t="shared" si="1"/>
        <v>DefinitionsB17</v>
      </c>
      <c r="B88" s="193" t="s">
        <v>1812</v>
      </c>
      <c r="C88" s="193" t="s">
        <v>1827</v>
      </c>
      <c r="D88" s="193" t="s">
        <v>3518</v>
      </c>
      <c r="E88" s="195" t="s">
        <v>1066</v>
      </c>
      <c r="F88" s="195" t="s">
        <v>827</v>
      </c>
      <c r="G88" s="193" t="s">
        <v>652</v>
      </c>
      <c r="H88" s="193" t="s">
        <v>575</v>
      </c>
      <c r="I88" s="193" t="s">
        <v>118</v>
      </c>
      <c r="J88" s="193" t="s">
        <v>147</v>
      </c>
      <c r="K88" s="196" t="s">
        <v>291</v>
      </c>
      <c r="L88" s="259" t="s">
        <v>221</v>
      </c>
      <c r="M88" s="193" t="s">
        <v>4345</v>
      </c>
    </row>
    <row r="89" spans="1:13">
      <c r="A89" s="193" t="str">
        <f t="shared" si="1"/>
        <v>DefinitionsB18</v>
      </c>
      <c r="B89" s="193" t="s">
        <v>1812</v>
      </c>
      <c r="C89" s="193" t="s">
        <v>1828</v>
      </c>
      <c r="D89" s="193" t="s">
        <v>1895</v>
      </c>
      <c r="E89" s="195" t="s">
        <v>1067</v>
      </c>
      <c r="F89" s="195" t="s">
        <v>828</v>
      </c>
      <c r="G89" s="193" t="s">
        <v>653</v>
      </c>
      <c r="H89" s="193" t="s">
        <v>576</v>
      </c>
      <c r="I89" s="193" t="s">
        <v>119</v>
      </c>
      <c r="J89" s="193" t="s">
        <v>148</v>
      </c>
      <c r="K89" s="196" t="s">
        <v>292</v>
      </c>
      <c r="L89" s="259" t="s">
        <v>222</v>
      </c>
      <c r="M89" s="193" t="s">
        <v>4346</v>
      </c>
    </row>
    <row r="90" spans="1:13">
      <c r="A90" s="193" t="str">
        <f t="shared" si="1"/>
        <v>DefinitionsB19</v>
      </c>
      <c r="B90" s="193" t="s">
        <v>1812</v>
      </c>
      <c r="C90" s="193" t="s">
        <v>1829</v>
      </c>
      <c r="D90" s="193" t="s">
        <v>1896</v>
      </c>
      <c r="E90" s="195" t="s">
        <v>1068</v>
      </c>
      <c r="F90" s="195" t="s">
        <v>1896</v>
      </c>
      <c r="G90" s="193" t="s">
        <v>1896</v>
      </c>
      <c r="H90" s="193" t="s">
        <v>1896</v>
      </c>
      <c r="I90" s="193" t="s">
        <v>1896</v>
      </c>
      <c r="J90" s="193" t="s">
        <v>1896</v>
      </c>
      <c r="K90" s="196" t="s">
        <v>1896</v>
      </c>
      <c r="L90" s="259" t="s">
        <v>1896</v>
      </c>
      <c r="M90" s="193" t="s">
        <v>4347</v>
      </c>
    </row>
    <row r="91" spans="1:13" ht="28.5">
      <c r="A91" s="193" t="str">
        <f t="shared" si="1"/>
        <v>DefinitionsB20</v>
      </c>
      <c r="B91" s="193" t="s">
        <v>1812</v>
      </c>
      <c r="C91" s="193" t="s">
        <v>1830</v>
      </c>
      <c r="D91" s="193" t="s">
        <v>1898</v>
      </c>
      <c r="E91" s="195" t="s">
        <v>1069</v>
      </c>
      <c r="F91" s="195" t="s">
        <v>829</v>
      </c>
      <c r="G91" s="193" t="s">
        <v>654</v>
      </c>
      <c r="H91" s="193" t="s">
        <v>577</v>
      </c>
      <c r="I91" s="193" t="s">
        <v>120</v>
      </c>
      <c r="J91" s="193" t="s">
        <v>1898</v>
      </c>
      <c r="K91" s="196" t="s">
        <v>293</v>
      </c>
      <c r="L91" s="259" t="s">
        <v>1898</v>
      </c>
      <c r="M91" s="193" t="s">
        <v>4348</v>
      </c>
    </row>
    <row r="92" spans="1:13" ht="28.5">
      <c r="A92" s="193" t="str">
        <f t="shared" si="1"/>
        <v>DefinitionsB21</v>
      </c>
      <c r="B92" s="193" t="s">
        <v>1812</v>
      </c>
      <c r="C92" s="193" t="s">
        <v>1831</v>
      </c>
      <c r="D92" s="193" t="s">
        <v>1900</v>
      </c>
      <c r="E92" s="195" t="s">
        <v>1070</v>
      </c>
      <c r="F92" s="195" t="s">
        <v>830</v>
      </c>
      <c r="G92" s="193" t="s">
        <v>655</v>
      </c>
      <c r="H92" s="193" t="s">
        <v>578</v>
      </c>
      <c r="I92" s="193" t="s">
        <v>121</v>
      </c>
      <c r="J92" s="193" t="s">
        <v>149</v>
      </c>
      <c r="K92" s="196" t="s">
        <v>294</v>
      </c>
      <c r="L92" s="259" t="s">
        <v>223</v>
      </c>
      <c r="M92" s="193" t="s">
        <v>4349</v>
      </c>
    </row>
    <row r="93" spans="1:13" ht="28.5">
      <c r="A93" s="193" t="str">
        <f t="shared" si="1"/>
        <v>DefinitionsB22</v>
      </c>
      <c r="B93" s="193" t="s">
        <v>1812</v>
      </c>
      <c r="C93" s="193" t="s">
        <v>1832</v>
      </c>
      <c r="D93" s="193" t="s">
        <v>1091</v>
      </c>
      <c r="E93" s="195" t="s">
        <v>1071</v>
      </c>
      <c r="F93" s="195" t="s">
        <v>831</v>
      </c>
      <c r="G93" s="193" t="s">
        <v>656</v>
      </c>
      <c r="H93" s="193" t="s">
        <v>579</v>
      </c>
      <c r="I93" s="193" t="s">
        <v>122</v>
      </c>
      <c r="J93" s="193" t="s">
        <v>150</v>
      </c>
      <c r="K93" s="196" t="s">
        <v>295</v>
      </c>
      <c r="L93" s="259" t="s">
        <v>224</v>
      </c>
      <c r="M93" s="193" t="s">
        <v>4350</v>
      </c>
    </row>
    <row r="94" spans="1:13">
      <c r="A94" s="193" t="str">
        <f t="shared" si="1"/>
        <v>DefinitionsB23</v>
      </c>
      <c r="B94" s="193" t="s">
        <v>1812</v>
      </c>
      <c r="C94" s="193" t="s">
        <v>1833</v>
      </c>
      <c r="D94" s="193" t="s">
        <v>1498</v>
      </c>
      <c r="E94" s="193" t="s">
        <v>1072</v>
      </c>
      <c r="F94" s="195" t="s">
        <v>1957</v>
      </c>
      <c r="G94" s="193" t="s">
        <v>1498</v>
      </c>
      <c r="H94" s="193" t="s">
        <v>1958</v>
      </c>
      <c r="I94" s="193" t="s">
        <v>1958</v>
      </c>
      <c r="J94" s="193" t="s">
        <v>1498</v>
      </c>
      <c r="K94" s="196" t="s">
        <v>1498</v>
      </c>
      <c r="L94" s="259" t="s">
        <v>1498</v>
      </c>
      <c r="M94" s="193" t="s">
        <v>4351</v>
      </c>
    </row>
    <row r="95" spans="1:13">
      <c r="A95" s="193" t="str">
        <f t="shared" si="1"/>
        <v>DefinitionsB24</v>
      </c>
      <c r="B95" s="193" t="s">
        <v>1812</v>
      </c>
      <c r="C95" s="193" t="s">
        <v>1863</v>
      </c>
      <c r="D95" s="193" t="s">
        <v>1808</v>
      </c>
      <c r="E95" s="193" t="s">
        <v>1959</v>
      </c>
      <c r="F95" s="195" t="s">
        <v>1960</v>
      </c>
      <c r="G95" s="193" t="s">
        <v>1961</v>
      </c>
      <c r="H95" s="193" t="s">
        <v>1962</v>
      </c>
      <c r="I95" s="193" t="s">
        <v>1963</v>
      </c>
      <c r="J95" s="193" t="s">
        <v>1964</v>
      </c>
      <c r="K95" s="196" t="s">
        <v>2286</v>
      </c>
      <c r="L95" s="259" t="s">
        <v>1135</v>
      </c>
      <c r="M95" s="193" t="s">
        <v>4352</v>
      </c>
    </row>
    <row r="96" spans="1:13" ht="28.5">
      <c r="A96" s="193" t="str">
        <f t="shared" si="1"/>
        <v>DefinitionsB25</v>
      </c>
      <c r="B96" s="193" t="s">
        <v>1812</v>
      </c>
      <c r="C96" s="193" t="s">
        <v>890</v>
      </c>
      <c r="D96" s="193" t="s">
        <v>1095</v>
      </c>
      <c r="E96" s="193" t="s">
        <v>1073</v>
      </c>
      <c r="F96" s="195" t="s">
        <v>832</v>
      </c>
      <c r="G96" s="193" t="s">
        <v>657</v>
      </c>
      <c r="H96" s="195" t="s">
        <v>580</v>
      </c>
      <c r="I96" s="193" t="s">
        <v>123</v>
      </c>
      <c r="J96" s="193" t="s">
        <v>2569</v>
      </c>
      <c r="K96" s="196" t="s">
        <v>296</v>
      </c>
      <c r="L96" s="259" t="s">
        <v>1136</v>
      </c>
      <c r="M96" s="193" t="s">
        <v>4353</v>
      </c>
    </row>
    <row r="97" spans="1:13">
      <c r="A97" s="193" t="str">
        <f t="shared" si="1"/>
        <v>DefinitionsB26</v>
      </c>
      <c r="B97" s="193" t="s">
        <v>1812</v>
      </c>
      <c r="C97" s="193" t="s">
        <v>1096</v>
      </c>
      <c r="D97" s="193" t="s">
        <v>1497</v>
      </c>
      <c r="E97" s="195" t="s">
        <v>1965</v>
      </c>
      <c r="F97" s="195" t="s">
        <v>1966</v>
      </c>
      <c r="G97" s="193" t="s">
        <v>1967</v>
      </c>
      <c r="H97" s="193" t="s">
        <v>1497</v>
      </c>
      <c r="I97" s="193" t="s">
        <v>1497</v>
      </c>
      <c r="J97" s="193" t="s">
        <v>1497</v>
      </c>
      <c r="K97" s="196" t="s">
        <v>1497</v>
      </c>
      <c r="L97" s="259" t="s">
        <v>1497</v>
      </c>
      <c r="M97" s="193" t="s">
        <v>4354</v>
      </c>
    </row>
    <row r="98" spans="1:13" ht="27">
      <c r="A98" s="193" t="str">
        <f t="shared" si="1"/>
        <v>DefinitionsB27</v>
      </c>
      <c r="B98" s="193" t="s">
        <v>1812</v>
      </c>
      <c r="C98" s="193" t="s">
        <v>1099</v>
      </c>
      <c r="D98" s="193" t="s">
        <v>2012</v>
      </c>
      <c r="E98" s="193" t="s">
        <v>1968</v>
      </c>
      <c r="F98" s="195" t="s">
        <v>1521</v>
      </c>
      <c r="G98" s="193" t="s">
        <v>1969</v>
      </c>
      <c r="H98" s="193" t="s">
        <v>1970</v>
      </c>
      <c r="I98" s="193" t="s">
        <v>1971</v>
      </c>
      <c r="J98" s="193" t="s">
        <v>1972</v>
      </c>
      <c r="K98" s="196" t="s">
        <v>2287</v>
      </c>
      <c r="L98" s="259" t="s">
        <v>1137</v>
      </c>
      <c r="M98" s="193" t="s">
        <v>4355</v>
      </c>
    </row>
    <row r="99" spans="1:13">
      <c r="A99" s="193" t="str">
        <f>B99&amp;C99</f>
        <v>DefinitionsB28</v>
      </c>
      <c r="B99" s="193" t="s">
        <v>1812</v>
      </c>
      <c r="C99" s="193" t="s">
        <v>1102</v>
      </c>
      <c r="D99" s="193" t="s">
        <v>1107</v>
      </c>
      <c r="E99" s="195" t="s">
        <v>1074</v>
      </c>
      <c r="F99" s="195" t="s">
        <v>2350</v>
      </c>
      <c r="G99" s="193" t="s">
        <v>658</v>
      </c>
      <c r="H99" s="193" t="s">
        <v>581</v>
      </c>
      <c r="I99" s="193" t="s">
        <v>124</v>
      </c>
      <c r="J99" s="193" t="s">
        <v>151</v>
      </c>
      <c r="K99" s="196" t="s">
        <v>297</v>
      </c>
      <c r="L99" s="259" t="s">
        <v>225</v>
      </c>
      <c r="M99" s="193" t="s">
        <v>4356</v>
      </c>
    </row>
    <row r="100" spans="1:13" ht="28.5">
      <c r="A100" s="193" t="str">
        <f t="shared" si="1"/>
        <v>DefinitionsB29</v>
      </c>
      <c r="B100" s="193" t="s">
        <v>1812</v>
      </c>
      <c r="C100" s="193" t="s">
        <v>1105</v>
      </c>
      <c r="D100" s="193" t="s">
        <v>1109</v>
      </c>
      <c r="E100" s="195" t="s">
        <v>1075</v>
      </c>
      <c r="F100" s="195" t="s">
        <v>1522</v>
      </c>
      <c r="G100" s="193" t="s">
        <v>659</v>
      </c>
      <c r="H100" s="193" t="s">
        <v>1973</v>
      </c>
      <c r="I100" s="193" t="s">
        <v>125</v>
      </c>
      <c r="J100" s="193" t="s">
        <v>152</v>
      </c>
      <c r="K100" s="196" t="s">
        <v>298</v>
      </c>
      <c r="L100" s="259" t="s">
        <v>1138</v>
      </c>
      <c r="M100" s="193" t="s">
        <v>4357</v>
      </c>
    </row>
    <row r="101" spans="1:13" ht="27">
      <c r="A101" s="193" t="str">
        <f t="shared" si="1"/>
        <v>DefinitionsB30</v>
      </c>
      <c r="B101" s="193" t="s">
        <v>1812</v>
      </c>
      <c r="C101" s="193" t="s">
        <v>1110</v>
      </c>
      <c r="D101" s="193" t="s">
        <v>1113</v>
      </c>
      <c r="E101" s="195" t="s">
        <v>1076</v>
      </c>
      <c r="F101" s="195" t="s">
        <v>1523</v>
      </c>
      <c r="G101" s="193" t="s">
        <v>660</v>
      </c>
      <c r="H101" s="193" t="s">
        <v>1974</v>
      </c>
      <c r="I101" s="193" t="s">
        <v>126</v>
      </c>
      <c r="J101" s="193" t="s">
        <v>153</v>
      </c>
      <c r="K101" s="196" t="s">
        <v>299</v>
      </c>
      <c r="L101" s="259" t="s">
        <v>1139</v>
      </c>
      <c r="M101" s="193" t="s">
        <v>4358</v>
      </c>
    </row>
    <row r="102" spans="1:13" ht="27">
      <c r="A102" s="193" t="str">
        <f t="shared" si="1"/>
        <v>DefinitionsB31</v>
      </c>
      <c r="B102" s="193" t="s">
        <v>1812</v>
      </c>
      <c r="C102" s="193" t="s">
        <v>891</v>
      </c>
      <c r="D102" s="193" t="s">
        <v>1116</v>
      </c>
      <c r="E102" s="195" t="s">
        <v>1077</v>
      </c>
      <c r="F102" s="195" t="s">
        <v>1524</v>
      </c>
      <c r="G102" s="193" t="s">
        <v>661</v>
      </c>
      <c r="H102" s="193" t="s">
        <v>1975</v>
      </c>
      <c r="I102" s="193" t="s">
        <v>127</v>
      </c>
      <c r="J102" s="193" t="s">
        <v>154</v>
      </c>
      <c r="K102" s="196" t="s">
        <v>300</v>
      </c>
      <c r="L102" s="259" t="s">
        <v>1140</v>
      </c>
      <c r="M102" s="193" t="s">
        <v>4359</v>
      </c>
    </row>
    <row r="103" spans="1:13">
      <c r="A103" s="193" t="str">
        <f t="shared" si="1"/>
        <v>DefinitionsC2</v>
      </c>
      <c r="B103" s="193" t="s">
        <v>1812</v>
      </c>
      <c r="C103" s="193" t="s">
        <v>1864</v>
      </c>
      <c r="D103" s="193" t="s">
        <v>1976</v>
      </c>
      <c r="E103" s="195" t="s">
        <v>1078</v>
      </c>
      <c r="F103" s="195" t="s">
        <v>1995</v>
      </c>
      <c r="G103" s="193" t="s">
        <v>1513</v>
      </c>
      <c r="H103" s="193" t="s">
        <v>1976</v>
      </c>
      <c r="I103" s="193" t="s">
        <v>128</v>
      </c>
      <c r="J103" s="193" t="s">
        <v>1977</v>
      </c>
      <c r="K103" s="196" t="s">
        <v>2288</v>
      </c>
      <c r="L103" s="259" t="s">
        <v>1141</v>
      </c>
      <c r="M103" s="193" t="s">
        <v>4360</v>
      </c>
    </row>
    <row r="104" spans="1:13">
      <c r="A104" s="193" t="str">
        <f>B104&amp;C104</f>
        <v>DefinitionsC3</v>
      </c>
      <c r="B104" s="193" t="s">
        <v>1812</v>
      </c>
      <c r="C104" s="193" t="s">
        <v>1834</v>
      </c>
      <c r="D104" s="193" t="s">
        <v>1874</v>
      </c>
      <c r="E104" s="195" t="s">
        <v>1079</v>
      </c>
      <c r="F104" s="195" t="s">
        <v>833</v>
      </c>
      <c r="G104" s="193" t="s">
        <v>662</v>
      </c>
      <c r="H104" s="193" t="s">
        <v>582</v>
      </c>
      <c r="I104" s="193" t="s">
        <v>129</v>
      </c>
      <c r="J104" s="193" t="s">
        <v>155</v>
      </c>
      <c r="K104" s="196" t="s">
        <v>301</v>
      </c>
      <c r="L104" s="259" t="s">
        <v>226</v>
      </c>
      <c r="M104" s="193" t="s">
        <v>4361</v>
      </c>
    </row>
    <row r="105" spans="1:13" ht="114">
      <c r="A105" s="193" t="str">
        <f t="shared" si="1"/>
        <v>DefinitionsC4</v>
      </c>
      <c r="B105" s="193" t="s">
        <v>1812</v>
      </c>
      <c r="C105" s="193" t="s">
        <v>1835</v>
      </c>
      <c r="D105" s="193" t="s">
        <v>1876</v>
      </c>
      <c r="E105" s="195" t="s">
        <v>1080</v>
      </c>
      <c r="F105" s="195" t="s">
        <v>834</v>
      </c>
      <c r="G105" s="193" t="s">
        <v>4107</v>
      </c>
      <c r="H105" s="193" t="s">
        <v>583</v>
      </c>
      <c r="I105" s="193" t="s">
        <v>130</v>
      </c>
      <c r="J105" s="193" t="s">
        <v>2570</v>
      </c>
      <c r="K105" s="196" t="s">
        <v>302</v>
      </c>
      <c r="L105" s="259" t="s">
        <v>227</v>
      </c>
      <c r="M105" s="193" t="s">
        <v>4362</v>
      </c>
    </row>
    <row r="106" spans="1:13" ht="293.25">
      <c r="A106" s="193" t="str">
        <f t="shared" si="1"/>
        <v>DefinitionsC5</v>
      </c>
      <c r="B106" s="193" t="s">
        <v>1812</v>
      </c>
      <c r="C106" s="193" t="s">
        <v>1836</v>
      </c>
      <c r="D106" s="194" t="s">
        <v>2773</v>
      </c>
      <c r="E106" s="194" t="s">
        <v>2774</v>
      </c>
      <c r="F106" s="208" t="s">
        <v>2775</v>
      </c>
      <c r="G106" s="194" t="s">
        <v>4108</v>
      </c>
      <c r="H106" s="194" t="s">
        <v>2835</v>
      </c>
      <c r="I106" s="194" t="s">
        <v>2836</v>
      </c>
      <c r="J106" s="194" t="s">
        <v>2837</v>
      </c>
      <c r="K106" s="194" t="s">
        <v>2838</v>
      </c>
      <c r="L106" s="194" t="s">
        <v>2839</v>
      </c>
      <c r="M106" s="194" t="s">
        <v>4363</v>
      </c>
    </row>
    <row r="107" spans="1:13" ht="142.5">
      <c r="A107" s="193" t="str">
        <f t="shared" si="1"/>
        <v>DefinitionsC6</v>
      </c>
      <c r="B107" s="193" t="s">
        <v>1812</v>
      </c>
      <c r="C107" s="193" t="s">
        <v>1837</v>
      </c>
      <c r="D107" s="193" t="s">
        <v>1879</v>
      </c>
      <c r="E107" s="195" t="s">
        <v>1081</v>
      </c>
      <c r="F107" s="195" t="s">
        <v>835</v>
      </c>
      <c r="G107" s="193" t="s">
        <v>663</v>
      </c>
      <c r="H107" s="193" t="s">
        <v>413</v>
      </c>
      <c r="I107" s="193" t="s">
        <v>131</v>
      </c>
      <c r="J107" s="193" t="s">
        <v>2571</v>
      </c>
      <c r="K107" s="196" t="s">
        <v>525</v>
      </c>
      <c r="L107" s="259" t="s">
        <v>1142</v>
      </c>
      <c r="M107" s="193" t="s">
        <v>4364</v>
      </c>
    </row>
    <row r="108" spans="1:13" ht="384.75">
      <c r="A108" s="193" t="str">
        <f>B108&amp;C108</f>
        <v>DefinitionsC7</v>
      </c>
      <c r="B108" s="193" t="s">
        <v>1812</v>
      </c>
      <c r="C108" s="193" t="s">
        <v>1838</v>
      </c>
      <c r="D108" s="193" t="s">
        <v>1881</v>
      </c>
      <c r="E108" s="195" t="s">
        <v>1082</v>
      </c>
      <c r="F108" s="195" t="s">
        <v>836</v>
      </c>
      <c r="G108" s="193" t="s">
        <v>664</v>
      </c>
      <c r="H108" s="195" t="s">
        <v>414</v>
      </c>
      <c r="I108" s="193" t="s">
        <v>132</v>
      </c>
      <c r="J108" s="193" t="s">
        <v>2572</v>
      </c>
      <c r="K108" s="196" t="s">
        <v>526</v>
      </c>
      <c r="L108" s="259" t="s">
        <v>228</v>
      </c>
      <c r="M108" s="193" t="s">
        <v>4365</v>
      </c>
    </row>
    <row r="109" spans="1:13" ht="256.5">
      <c r="A109" s="193" t="str">
        <f t="shared" si="1"/>
        <v>DefinitionsC8</v>
      </c>
      <c r="B109" s="193" t="s">
        <v>1812</v>
      </c>
      <c r="C109" s="193" t="s">
        <v>1839</v>
      </c>
      <c r="D109" s="193" t="s">
        <v>2279</v>
      </c>
      <c r="E109" s="195" t="s">
        <v>1083</v>
      </c>
      <c r="F109" s="195" t="s">
        <v>837</v>
      </c>
      <c r="G109" s="193" t="s">
        <v>665</v>
      </c>
      <c r="H109" s="193" t="s">
        <v>415</v>
      </c>
      <c r="I109" s="193" t="s">
        <v>133</v>
      </c>
      <c r="J109" s="193" t="s">
        <v>2602</v>
      </c>
      <c r="K109" s="196" t="s">
        <v>527</v>
      </c>
      <c r="L109" s="259" t="s">
        <v>1143</v>
      </c>
      <c r="M109" s="193" t="s">
        <v>4366</v>
      </c>
    </row>
    <row r="110" spans="1:13" ht="185.25">
      <c r="A110" s="193" t="str">
        <f>B110&amp;C110</f>
        <v>DefinitionsC9</v>
      </c>
      <c r="B110" s="193" t="s">
        <v>1812</v>
      </c>
      <c r="C110" s="193" t="s">
        <v>1840</v>
      </c>
      <c r="D110" s="193" t="s">
        <v>1883</v>
      </c>
      <c r="E110" s="195" t="s">
        <v>1084</v>
      </c>
      <c r="F110" s="195" t="s">
        <v>838</v>
      </c>
      <c r="G110" s="193" t="s">
        <v>666</v>
      </c>
      <c r="H110" s="266" t="s">
        <v>416</v>
      </c>
      <c r="I110" s="193" t="s">
        <v>134</v>
      </c>
      <c r="J110" s="193" t="s">
        <v>2603</v>
      </c>
      <c r="K110" s="196" t="s">
        <v>528</v>
      </c>
      <c r="L110" s="259" t="s">
        <v>229</v>
      </c>
      <c r="M110" s="193" t="s">
        <v>4367</v>
      </c>
    </row>
    <row r="111" spans="1:13" ht="228">
      <c r="A111" s="193" t="str">
        <f t="shared" si="1"/>
        <v>DefinitionsC10</v>
      </c>
      <c r="B111" s="193" t="s">
        <v>1812</v>
      </c>
      <c r="C111" s="193" t="s">
        <v>1841</v>
      </c>
      <c r="D111" s="193" t="s">
        <v>1885</v>
      </c>
      <c r="E111" s="195" t="s">
        <v>1085</v>
      </c>
      <c r="F111" s="195" t="s">
        <v>839</v>
      </c>
      <c r="G111" s="193" t="s">
        <v>667</v>
      </c>
      <c r="H111" s="193" t="s">
        <v>417</v>
      </c>
      <c r="I111" s="193" t="s">
        <v>135</v>
      </c>
      <c r="J111" s="193" t="s">
        <v>2604</v>
      </c>
      <c r="K111" s="196" t="s">
        <v>529</v>
      </c>
      <c r="L111" s="259" t="s">
        <v>230</v>
      </c>
      <c r="M111" s="193" t="s">
        <v>4368</v>
      </c>
    </row>
    <row r="112" spans="1:13" ht="99.75">
      <c r="A112" s="193" t="str">
        <f t="shared" si="1"/>
        <v>DefinitionsC11</v>
      </c>
      <c r="B112" s="193" t="s">
        <v>1812</v>
      </c>
      <c r="C112" s="193" t="s">
        <v>1842</v>
      </c>
      <c r="D112" s="193" t="s">
        <v>1807</v>
      </c>
      <c r="E112" s="195" t="s">
        <v>1086</v>
      </c>
      <c r="F112" s="195" t="s">
        <v>840</v>
      </c>
      <c r="G112" s="193" t="s">
        <v>1978</v>
      </c>
      <c r="H112" s="193" t="s">
        <v>418</v>
      </c>
      <c r="I112" s="193" t="s">
        <v>136</v>
      </c>
      <c r="J112" s="193" t="s">
        <v>1979</v>
      </c>
      <c r="K112" s="196" t="s">
        <v>530</v>
      </c>
      <c r="L112" s="259" t="s">
        <v>1144</v>
      </c>
      <c r="M112" s="193" t="s">
        <v>4369</v>
      </c>
    </row>
    <row r="113" spans="1:13">
      <c r="A113" s="193" t="str">
        <f t="shared" si="1"/>
        <v>DefinitionsC12</v>
      </c>
      <c r="B113" s="193" t="s">
        <v>1812</v>
      </c>
      <c r="C113" s="193" t="s">
        <v>1843</v>
      </c>
      <c r="D113" s="193" t="s">
        <v>2413</v>
      </c>
      <c r="E113" s="193" t="s">
        <v>1508</v>
      </c>
      <c r="F113" s="195" t="s">
        <v>1996</v>
      </c>
      <c r="G113" s="193" t="s">
        <v>1980</v>
      </c>
      <c r="H113" s="193" t="s">
        <v>1981</v>
      </c>
      <c r="I113" s="193" t="s">
        <v>1982</v>
      </c>
      <c r="J113" s="193" t="s">
        <v>1983</v>
      </c>
      <c r="K113" s="196" t="s">
        <v>531</v>
      </c>
      <c r="L113" s="259" t="s">
        <v>1145</v>
      </c>
      <c r="M113" s="193" t="s">
        <v>4370</v>
      </c>
    </row>
    <row r="114" spans="1:13" ht="156.75">
      <c r="A114" s="193" t="str">
        <f t="shared" si="1"/>
        <v>DefinitionsC13</v>
      </c>
      <c r="B114" s="193" t="s">
        <v>1812</v>
      </c>
      <c r="C114" s="193" t="s">
        <v>1844</v>
      </c>
      <c r="D114" s="193" t="s">
        <v>1887</v>
      </c>
      <c r="E114" s="195" t="s">
        <v>1087</v>
      </c>
      <c r="F114" s="195" t="s">
        <v>841</v>
      </c>
      <c r="G114" s="193" t="s">
        <v>668</v>
      </c>
      <c r="H114" s="269" t="s">
        <v>419</v>
      </c>
      <c r="I114" s="193" t="s">
        <v>137</v>
      </c>
      <c r="J114" s="193" t="s">
        <v>2605</v>
      </c>
      <c r="K114" s="196" t="s">
        <v>532</v>
      </c>
      <c r="L114" s="259" t="s">
        <v>1146</v>
      </c>
      <c r="M114" s="193" t="s">
        <v>4371</v>
      </c>
    </row>
    <row r="115" spans="1:13" ht="42.75">
      <c r="A115" s="193" t="str">
        <f t="shared" si="1"/>
        <v>DefinitionsC14</v>
      </c>
      <c r="B115" s="193" t="s">
        <v>1812</v>
      </c>
      <c r="C115" s="193" t="s">
        <v>1845</v>
      </c>
      <c r="D115" s="193" t="s">
        <v>1888</v>
      </c>
      <c r="E115" s="193" t="s">
        <v>1984</v>
      </c>
      <c r="F115" s="195" t="s">
        <v>1890</v>
      </c>
      <c r="G115" s="193" t="s">
        <v>1889</v>
      </c>
      <c r="H115" s="193" t="s">
        <v>1888</v>
      </c>
      <c r="I115" s="193" t="s">
        <v>138</v>
      </c>
      <c r="J115" s="193" t="s">
        <v>1888</v>
      </c>
      <c r="K115" s="196" t="s">
        <v>533</v>
      </c>
      <c r="L115" s="259" t="s">
        <v>1888</v>
      </c>
      <c r="M115" s="193" t="s">
        <v>4372</v>
      </c>
    </row>
    <row r="116" spans="1:13" ht="42.75">
      <c r="A116" s="193" t="str">
        <f t="shared" si="1"/>
        <v>DefinitionsC15</v>
      </c>
      <c r="B116" s="193" t="s">
        <v>1812</v>
      </c>
      <c r="C116" s="193" t="s">
        <v>1846</v>
      </c>
      <c r="D116" s="193" t="s">
        <v>1502</v>
      </c>
      <c r="E116" s="193" t="s">
        <v>1985</v>
      </c>
      <c r="F116" s="195" t="s">
        <v>1997</v>
      </c>
      <c r="G116" s="193" t="s">
        <v>1514</v>
      </c>
      <c r="H116" s="193" t="s">
        <v>1502</v>
      </c>
      <c r="I116" s="193" t="s">
        <v>139</v>
      </c>
      <c r="J116" s="193" t="s">
        <v>1502</v>
      </c>
      <c r="K116" s="196" t="s">
        <v>1891</v>
      </c>
      <c r="L116" s="259" t="s">
        <v>1502</v>
      </c>
      <c r="M116" s="193" t="s">
        <v>4373</v>
      </c>
    </row>
    <row r="117" spans="1:13" ht="156.75">
      <c r="A117" s="193" t="str">
        <f t="shared" si="1"/>
        <v>DefinitionsC16</v>
      </c>
      <c r="B117" s="193" t="s">
        <v>1812</v>
      </c>
      <c r="C117" s="193" t="s">
        <v>1847</v>
      </c>
      <c r="D117" s="193" t="s">
        <v>1892</v>
      </c>
      <c r="E117" s="195" t="s">
        <v>1088</v>
      </c>
      <c r="F117" s="195" t="s">
        <v>842</v>
      </c>
      <c r="G117" s="193" t="s">
        <v>966</v>
      </c>
      <c r="H117" s="193" t="s">
        <v>420</v>
      </c>
      <c r="I117" s="193" t="s">
        <v>140</v>
      </c>
      <c r="J117" s="193" t="s">
        <v>2573</v>
      </c>
      <c r="K117" s="196" t="s">
        <v>534</v>
      </c>
      <c r="L117" s="259" t="s">
        <v>231</v>
      </c>
      <c r="M117" s="193" t="s">
        <v>4374</v>
      </c>
    </row>
    <row r="118" spans="1:13" ht="213.75">
      <c r="A118" s="193" t="str">
        <f t="shared" si="1"/>
        <v>DefinitionsC17</v>
      </c>
      <c r="B118" s="193" t="s">
        <v>1812</v>
      </c>
      <c r="C118" s="193" t="s">
        <v>1848</v>
      </c>
      <c r="D118" s="193" t="s">
        <v>3519</v>
      </c>
      <c r="E118" s="195" t="s">
        <v>1089</v>
      </c>
      <c r="F118" s="195" t="s">
        <v>4024</v>
      </c>
      <c r="G118" s="193" t="s">
        <v>4109</v>
      </c>
      <c r="H118" s="193" t="s">
        <v>2724</v>
      </c>
      <c r="I118" s="193" t="s">
        <v>141</v>
      </c>
      <c r="J118" s="193" t="s">
        <v>2574</v>
      </c>
      <c r="K118" s="196" t="s">
        <v>535</v>
      </c>
      <c r="L118" s="259" t="s">
        <v>232</v>
      </c>
      <c r="M118" s="193" t="s">
        <v>4375</v>
      </c>
    </row>
    <row r="119" spans="1:13" ht="409.5">
      <c r="A119" s="193" t="str">
        <f t="shared" si="1"/>
        <v>DefinitionsC18</v>
      </c>
      <c r="B119" s="193" t="s">
        <v>1812</v>
      </c>
      <c r="C119" s="193" t="s">
        <v>1849</v>
      </c>
      <c r="D119" s="193" t="s">
        <v>1894</v>
      </c>
      <c r="E119" s="195" t="s">
        <v>731</v>
      </c>
      <c r="F119" s="195" t="s">
        <v>4020</v>
      </c>
      <c r="G119" s="193" t="s">
        <v>967</v>
      </c>
      <c r="H119" s="269" t="s">
        <v>421</v>
      </c>
      <c r="I119" s="193" t="s">
        <v>303</v>
      </c>
      <c r="J119" s="193" t="s">
        <v>2575</v>
      </c>
      <c r="K119" s="196" t="s">
        <v>536</v>
      </c>
      <c r="L119" s="259" t="s">
        <v>233</v>
      </c>
      <c r="M119" s="193" t="s">
        <v>4376</v>
      </c>
    </row>
    <row r="120" spans="1:13" ht="327.75">
      <c r="A120" s="193" t="str">
        <f t="shared" si="1"/>
        <v>DefinitionsC19</v>
      </c>
      <c r="B120" s="193" t="s">
        <v>1812</v>
      </c>
      <c r="C120" s="193" t="s">
        <v>1850</v>
      </c>
      <c r="D120" s="193" t="s">
        <v>1897</v>
      </c>
      <c r="E120" s="195" t="s">
        <v>732</v>
      </c>
      <c r="F120" s="270" t="s">
        <v>843</v>
      </c>
      <c r="G120" s="193" t="s">
        <v>968</v>
      </c>
      <c r="H120" s="193" t="s">
        <v>422</v>
      </c>
      <c r="I120" s="193" t="s">
        <v>304</v>
      </c>
      <c r="J120" s="193" t="s">
        <v>2576</v>
      </c>
      <c r="K120" s="196" t="s">
        <v>537</v>
      </c>
      <c r="L120" s="259" t="s">
        <v>234</v>
      </c>
      <c r="M120" s="193" t="s">
        <v>4377</v>
      </c>
    </row>
    <row r="121" spans="1:13" ht="171">
      <c r="A121" s="193" t="str">
        <f t="shared" si="1"/>
        <v>DefinitionsC20</v>
      </c>
      <c r="B121" s="193" t="s">
        <v>1812</v>
      </c>
      <c r="C121" s="193" t="s">
        <v>1851</v>
      </c>
      <c r="D121" s="193" t="s">
        <v>1899</v>
      </c>
      <c r="E121" s="195" t="s">
        <v>733</v>
      </c>
      <c r="F121" s="270" t="s">
        <v>844</v>
      </c>
      <c r="G121" s="193" t="s">
        <v>969</v>
      </c>
      <c r="H121" s="193" t="s">
        <v>423</v>
      </c>
      <c r="I121" s="193" t="s">
        <v>305</v>
      </c>
      <c r="J121" s="193" t="s">
        <v>2577</v>
      </c>
      <c r="K121" s="196" t="s">
        <v>538</v>
      </c>
      <c r="L121" s="259" t="s">
        <v>235</v>
      </c>
      <c r="M121" s="193" t="s">
        <v>4378</v>
      </c>
    </row>
    <row r="122" spans="1:13" ht="358.5">
      <c r="A122" s="193" t="str">
        <f t="shared" si="1"/>
        <v>DefinitionsC21</v>
      </c>
      <c r="B122" s="193" t="s">
        <v>1812</v>
      </c>
      <c r="C122" s="193" t="s">
        <v>1852</v>
      </c>
      <c r="D122" s="193" t="s">
        <v>1901</v>
      </c>
      <c r="E122" s="195" t="s">
        <v>734</v>
      </c>
      <c r="F122" s="270" t="s">
        <v>584</v>
      </c>
      <c r="G122" s="193" t="s">
        <v>970</v>
      </c>
      <c r="H122" s="266" t="s">
        <v>2749</v>
      </c>
      <c r="I122" s="193" t="s">
        <v>306</v>
      </c>
      <c r="J122" s="193" t="s">
        <v>2578</v>
      </c>
      <c r="K122" s="196" t="s">
        <v>539</v>
      </c>
      <c r="L122" s="259" t="s">
        <v>236</v>
      </c>
      <c r="M122" s="193" t="s">
        <v>4379</v>
      </c>
    </row>
    <row r="123" spans="1:13" ht="327.75">
      <c r="A123" s="193" t="str">
        <f t="shared" si="1"/>
        <v>DefinitionsC22</v>
      </c>
      <c r="B123" s="193" t="s">
        <v>1812</v>
      </c>
      <c r="C123" s="193" t="s">
        <v>1853</v>
      </c>
      <c r="D123" s="193" t="s">
        <v>1090</v>
      </c>
      <c r="E123" s="195" t="s">
        <v>735</v>
      </c>
      <c r="F123" s="270" t="s">
        <v>585</v>
      </c>
      <c r="G123" s="193" t="s">
        <v>971</v>
      </c>
      <c r="H123" s="266" t="s">
        <v>424</v>
      </c>
      <c r="I123" s="193" t="s">
        <v>307</v>
      </c>
      <c r="J123" s="193" t="s">
        <v>2579</v>
      </c>
      <c r="K123" s="196" t="s">
        <v>540</v>
      </c>
      <c r="L123" s="259" t="s">
        <v>237</v>
      </c>
      <c r="M123" s="193" t="s">
        <v>4380</v>
      </c>
    </row>
    <row r="124" spans="1:13" ht="28.5">
      <c r="A124" s="193" t="str">
        <f t="shared" si="1"/>
        <v>DefinitionsC23</v>
      </c>
      <c r="B124" s="193" t="s">
        <v>1812</v>
      </c>
      <c r="C124" s="193" t="s">
        <v>1854</v>
      </c>
      <c r="D124" s="193" t="s">
        <v>1092</v>
      </c>
      <c r="E124" s="193" t="s">
        <v>1509</v>
      </c>
      <c r="F124" s="195" t="s">
        <v>1998</v>
      </c>
      <c r="G124" s="193" t="s">
        <v>1463</v>
      </c>
      <c r="H124" s="193" t="s">
        <v>1464</v>
      </c>
      <c r="I124" s="193" t="s">
        <v>308</v>
      </c>
      <c r="J124" s="193" t="s">
        <v>1465</v>
      </c>
      <c r="K124" s="196" t="s">
        <v>541</v>
      </c>
      <c r="L124" s="259" t="s">
        <v>1147</v>
      </c>
      <c r="M124" s="193" t="s">
        <v>4381</v>
      </c>
    </row>
    <row r="125" spans="1:13" ht="99.75">
      <c r="A125" s="193" t="str">
        <f t="shared" si="1"/>
        <v>DefinitionsC24</v>
      </c>
      <c r="B125" s="193" t="s">
        <v>1812</v>
      </c>
      <c r="C125" s="193" t="s">
        <v>1093</v>
      </c>
      <c r="D125" s="193" t="s">
        <v>1809</v>
      </c>
      <c r="E125" s="195" t="s">
        <v>736</v>
      </c>
      <c r="F125" s="195" t="s">
        <v>1466</v>
      </c>
      <c r="G125" s="193" t="s">
        <v>1467</v>
      </c>
      <c r="H125" s="193" t="s">
        <v>425</v>
      </c>
      <c r="I125" s="193" t="s">
        <v>309</v>
      </c>
      <c r="J125" s="193" t="s">
        <v>1468</v>
      </c>
      <c r="K125" s="196" t="s">
        <v>542</v>
      </c>
      <c r="L125" s="259" t="s">
        <v>1148</v>
      </c>
      <c r="M125" s="193" t="s">
        <v>4382</v>
      </c>
    </row>
    <row r="126" spans="1:13" ht="213.75">
      <c r="A126" s="193" t="str">
        <f t="shared" si="1"/>
        <v>DefinitionsC25</v>
      </c>
      <c r="B126" s="193" t="s">
        <v>1812</v>
      </c>
      <c r="C126" s="193" t="s">
        <v>1094</v>
      </c>
      <c r="D126" s="193" t="s">
        <v>1098</v>
      </c>
      <c r="E126" s="195" t="s">
        <v>737</v>
      </c>
      <c r="F126" s="195" t="s">
        <v>586</v>
      </c>
      <c r="G126" s="193" t="s">
        <v>972</v>
      </c>
      <c r="H126" s="193" t="s">
        <v>2750</v>
      </c>
      <c r="I126" s="193" t="s">
        <v>310</v>
      </c>
      <c r="J126" s="193" t="s">
        <v>2580</v>
      </c>
      <c r="K126" s="196" t="s">
        <v>543</v>
      </c>
      <c r="L126" s="259" t="s">
        <v>238</v>
      </c>
      <c r="M126" s="193" t="s">
        <v>4383</v>
      </c>
    </row>
    <row r="127" spans="1:13" ht="28.5">
      <c r="A127" s="193" t="str">
        <f t="shared" si="1"/>
        <v>DefinitionsC26</v>
      </c>
      <c r="B127" s="193" t="s">
        <v>1812</v>
      </c>
      <c r="C127" s="193" t="s">
        <v>1097</v>
      </c>
      <c r="D127" s="193" t="s">
        <v>1101</v>
      </c>
      <c r="E127" s="195" t="s">
        <v>738</v>
      </c>
      <c r="F127" s="195" t="s">
        <v>587</v>
      </c>
      <c r="G127" s="193" t="s">
        <v>1986</v>
      </c>
      <c r="H127" s="193" t="s">
        <v>1101</v>
      </c>
      <c r="I127" s="193" t="s">
        <v>311</v>
      </c>
      <c r="J127" s="193" t="s">
        <v>1101</v>
      </c>
      <c r="K127" s="196" t="s">
        <v>1101</v>
      </c>
      <c r="L127" s="259" t="s">
        <v>1101</v>
      </c>
      <c r="M127" s="193" t="s">
        <v>4384</v>
      </c>
    </row>
    <row r="128" spans="1:13" ht="189.75">
      <c r="A128" s="193" t="str">
        <f t="shared" si="1"/>
        <v>DefinitionsC27</v>
      </c>
      <c r="B128" s="193" t="s">
        <v>1812</v>
      </c>
      <c r="C128" s="193" t="s">
        <v>1100</v>
      </c>
      <c r="D128" s="193" t="s">
        <v>1104</v>
      </c>
      <c r="E128" s="195" t="s">
        <v>739</v>
      </c>
      <c r="F128" s="195" t="s">
        <v>588</v>
      </c>
      <c r="G128" s="193" t="s">
        <v>973</v>
      </c>
      <c r="H128" s="193" t="s">
        <v>2725</v>
      </c>
      <c r="I128" s="193" t="s">
        <v>312</v>
      </c>
      <c r="J128" s="193" t="s">
        <v>2606</v>
      </c>
      <c r="K128" s="196" t="s">
        <v>544</v>
      </c>
      <c r="L128" s="259" t="s">
        <v>239</v>
      </c>
      <c r="M128" s="193" t="s">
        <v>4385</v>
      </c>
    </row>
    <row r="129" spans="1:13" ht="128.25">
      <c r="A129" s="193" t="str">
        <f>B129&amp;C129</f>
        <v>DefinitionsC28</v>
      </c>
      <c r="B129" s="193" t="s">
        <v>1812</v>
      </c>
      <c r="C129" s="193" t="s">
        <v>1103</v>
      </c>
      <c r="D129" s="193" t="s">
        <v>1108</v>
      </c>
      <c r="E129" s="195" t="s">
        <v>740</v>
      </c>
      <c r="F129" s="195" t="s">
        <v>589</v>
      </c>
      <c r="G129" s="193" t="s">
        <v>974</v>
      </c>
      <c r="H129" s="193" t="s">
        <v>708</v>
      </c>
      <c r="I129" s="193" t="s">
        <v>313</v>
      </c>
      <c r="J129" s="193" t="s">
        <v>2607</v>
      </c>
      <c r="K129" s="196" t="s">
        <v>545</v>
      </c>
      <c r="L129" s="259" t="s">
        <v>240</v>
      </c>
      <c r="M129" s="193" t="s">
        <v>4386</v>
      </c>
    </row>
    <row r="130" spans="1:13" ht="252">
      <c r="A130" s="193" t="str">
        <f t="shared" si="1"/>
        <v>DefinitionsC29</v>
      </c>
      <c r="B130" s="193" t="s">
        <v>1812</v>
      </c>
      <c r="C130" s="193" t="s">
        <v>1106</v>
      </c>
      <c r="D130" s="193" t="s">
        <v>1112</v>
      </c>
      <c r="E130" s="195" t="s">
        <v>741</v>
      </c>
      <c r="F130" s="195" t="s">
        <v>4110</v>
      </c>
      <c r="G130" s="193" t="s">
        <v>975</v>
      </c>
      <c r="H130" s="193" t="s">
        <v>2726</v>
      </c>
      <c r="I130" s="193" t="s">
        <v>314</v>
      </c>
      <c r="J130" s="193" t="s">
        <v>2581</v>
      </c>
      <c r="K130" s="196" t="s">
        <v>546</v>
      </c>
      <c r="L130" s="259" t="s">
        <v>241</v>
      </c>
      <c r="M130" s="193" t="s">
        <v>4387</v>
      </c>
    </row>
    <row r="131" spans="1:13" ht="270.75">
      <c r="A131" s="193" t="str">
        <f t="shared" si="1"/>
        <v>DefinitionsC30</v>
      </c>
      <c r="B131" s="193" t="s">
        <v>1812</v>
      </c>
      <c r="C131" s="193" t="s">
        <v>1111</v>
      </c>
      <c r="D131" s="193" t="s">
        <v>1115</v>
      </c>
      <c r="E131" s="271" t="s">
        <v>4112</v>
      </c>
      <c r="F131" s="272" t="s">
        <v>4111</v>
      </c>
      <c r="G131" s="193" t="s">
        <v>976</v>
      </c>
      <c r="H131" s="195" t="s">
        <v>426</v>
      </c>
      <c r="I131" s="193" t="s">
        <v>315</v>
      </c>
      <c r="J131" s="193" t="s">
        <v>2582</v>
      </c>
      <c r="K131" s="196" t="s">
        <v>547</v>
      </c>
      <c r="L131" s="259" t="s">
        <v>242</v>
      </c>
      <c r="M131" s="193" t="s">
        <v>4388</v>
      </c>
    </row>
    <row r="132" spans="1:13" ht="256.5">
      <c r="A132" s="193" t="str">
        <f t="shared" si="1"/>
        <v>DefinitionsC31</v>
      </c>
      <c r="B132" s="193" t="s">
        <v>1812</v>
      </c>
      <c r="C132" s="193" t="s">
        <v>1114</v>
      </c>
      <c r="D132" s="193" t="s">
        <v>773</v>
      </c>
      <c r="E132" s="195" t="s">
        <v>742</v>
      </c>
      <c r="F132" s="195" t="s">
        <v>4113</v>
      </c>
      <c r="G132" s="193" t="s">
        <v>977</v>
      </c>
      <c r="H132" s="195" t="s">
        <v>427</v>
      </c>
      <c r="I132" s="193" t="s">
        <v>316</v>
      </c>
      <c r="J132" s="193" t="s">
        <v>2608</v>
      </c>
      <c r="K132" s="196" t="s">
        <v>548</v>
      </c>
      <c r="L132" s="259" t="s">
        <v>243</v>
      </c>
      <c r="M132" s="193" t="s">
        <v>4389</v>
      </c>
    </row>
    <row r="133" spans="1:13" ht="28.5">
      <c r="A133" s="193" t="str">
        <f t="shared" si="1"/>
        <v>DeclarationD2</v>
      </c>
      <c r="B133" s="193" t="s">
        <v>1855</v>
      </c>
      <c r="C133" s="193" t="s">
        <v>1865</v>
      </c>
      <c r="D133" s="193" t="s">
        <v>774</v>
      </c>
      <c r="E133" s="193" t="s">
        <v>774</v>
      </c>
      <c r="F133" s="195" t="s">
        <v>774</v>
      </c>
      <c r="G133" s="193" t="s">
        <v>774</v>
      </c>
      <c r="H133" s="193" t="s">
        <v>774</v>
      </c>
      <c r="I133" s="193" t="s">
        <v>774</v>
      </c>
      <c r="J133" s="193" t="s">
        <v>774</v>
      </c>
      <c r="K133" s="193" t="s">
        <v>774</v>
      </c>
      <c r="L133" s="259" t="s">
        <v>774</v>
      </c>
      <c r="M133" s="259" t="s">
        <v>774</v>
      </c>
    </row>
    <row r="134" spans="1:13" s="220" customFormat="1" ht="28.5">
      <c r="A134" s="193" t="str">
        <f t="shared" si="1"/>
        <v>DeclarationF3</v>
      </c>
      <c r="B134" s="193" t="s">
        <v>1855</v>
      </c>
      <c r="C134" s="193" t="s">
        <v>3513</v>
      </c>
      <c r="D134" s="193" t="s">
        <v>3514</v>
      </c>
      <c r="E134" s="193" t="s">
        <v>3530</v>
      </c>
      <c r="F134" s="193" t="s">
        <v>3531</v>
      </c>
      <c r="G134" s="193" t="s">
        <v>3532</v>
      </c>
      <c r="H134" s="193" t="s">
        <v>3533</v>
      </c>
      <c r="I134" s="193" t="s">
        <v>3534</v>
      </c>
      <c r="J134" s="193" t="s">
        <v>3535</v>
      </c>
      <c r="K134" s="193" t="s">
        <v>3536</v>
      </c>
      <c r="L134" s="193" t="s">
        <v>3537</v>
      </c>
      <c r="M134" s="193" t="s">
        <v>4390</v>
      </c>
    </row>
    <row r="135" spans="1:13" s="220" customFormat="1" ht="28.5">
      <c r="A135" s="193" t="str">
        <f t="shared" si="1"/>
        <v>DeclarationI3</v>
      </c>
      <c r="B135" s="193" t="s">
        <v>1855</v>
      </c>
      <c r="C135" s="193" t="s">
        <v>3515</v>
      </c>
      <c r="D135" s="193" t="s">
        <v>3516</v>
      </c>
      <c r="E135" s="193" t="s">
        <v>3538</v>
      </c>
      <c r="F135" s="193" t="s">
        <v>3539</v>
      </c>
      <c r="G135" s="193" t="s">
        <v>3540</v>
      </c>
      <c r="H135" s="193" t="s">
        <v>3541</v>
      </c>
      <c r="I135" s="193" t="s">
        <v>3542</v>
      </c>
      <c r="J135" s="193" t="s">
        <v>3543</v>
      </c>
      <c r="K135" s="193" t="s">
        <v>3544</v>
      </c>
      <c r="L135" s="193" t="s">
        <v>3545</v>
      </c>
      <c r="M135" s="193" t="s">
        <v>4391</v>
      </c>
    </row>
    <row r="136" spans="1:13" s="220" customFormat="1">
      <c r="A136" s="193" t="str">
        <f t="shared" si="1"/>
        <v>DeclarationI4</v>
      </c>
      <c r="B136" s="193" t="s">
        <v>1855</v>
      </c>
      <c r="C136" s="193" t="s">
        <v>2504</v>
      </c>
      <c r="D136" s="193" t="s">
        <v>1797</v>
      </c>
      <c r="E136" s="193" t="s">
        <v>3546</v>
      </c>
      <c r="F136" s="193" t="s">
        <v>3547</v>
      </c>
      <c r="G136" s="193" t="s">
        <v>3548</v>
      </c>
      <c r="H136" s="193" t="s">
        <v>3549</v>
      </c>
      <c r="I136" s="193" t="s">
        <v>3550</v>
      </c>
      <c r="J136" s="193" t="s">
        <v>3551</v>
      </c>
      <c r="K136" s="193" t="s">
        <v>3552</v>
      </c>
      <c r="L136" s="193" t="s">
        <v>3553</v>
      </c>
      <c r="M136" s="193" t="s">
        <v>4392</v>
      </c>
    </row>
    <row r="137" spans="1:13" ht="71.25">
      <c r="A137" s="193" t="str">
        <f t="shared" si="1"/>
        <v>DeclarationB4</v>
      </c>
      <c r="B137" s="193" t="s">
        <v>1855</v>
      </c>
      <c r="C137" s="193" t="s">
        <v>1814</v>
      </c>
      <c r="D137" s="193" t="s">
        <v>1476</v>
      </c>
      <c r="E137" s="193" t="s">
        <v>743</v>
      </c>
      <c r="F137" s="195" t="s">
        <v>1999</v>
      </c>
      <c r="G137" s="193" t="s">
        <v>1515</v>
      </c>
      <c r="H137" s="193" t="s">
        <v>669</v>
      </c>
      <c r="I137" s="193" t="s">
        <v>317</v>
      </c>
      <c r="J137" s="193" t="s">
        <v>2583</v>
      </c>
      <c r="K137" s="196" t="s">
        <v>549</v>
      </c>
      <c r="L137" s="259" t="s">
        <v>853</v>
      </c>
      <c r="M137" s="193" t="s">
        <v>4393</v>
      </c>
    </row>
    <row r="138" spans="1:13" ht="28.5">
      <c r="A138" s="193" t="str">
        <f t="shared" si="1"/>
        <v>DeclarationB6</v>
      </c>
      <c r="B138" s="193" t="s">
        <v>1855</v>
      </c>
      <c r="C138" s="193" t="s">
        <v>1816</v>
      </c>
      <c r="D138" s="193" t="s">
        <v>4811</v>
      </c>
      <c r="E138" s="193" t="s">
        <v>4819</v>
      </c>
      <c r="F138" s="195" t="s">
        <v>4825</v>
      </c>
      <c r="G138" s="193" t="s">
        <v>4831</v>
      </c>
      <c r="H138" s="193" t="s">
        <v>4837</v>
      </c>
      <c r="I138" s="193" t="s">
        <v>4843</v>
      </c>
      <c r="J138" s="193" t="s">
        <v>4849</v>
      </c>
      <c r="K138" s="196" t="s">
        <v>4855</v>
      </c>
      <c r="L138" s="259" t="s">
        <v>4861</v>
      </c>
      <c r="M138" s="193" t="s">
        <v>4867</v>
      </c>
    </row>
    <row r="139" spans="1:13" ht="99.75">
      <c r="A139" s="193" t="str">
        <f t="shared" si="1"/>
        <v>DeclarationB7</v>
      </c>
      <c r="B139" s="193" t="s">
        <v>1855</v>
      </c>
      <c r="C139" s="193" t="s">
        <v>1817</v>
      </c>
      <c r="D139" s="193" t="s">
        <v>1927</v>
      </c>
      <c r="E139" s="193" t="s">
        <v>1771</v>
      </c>
      <c r="F139" s="195" t="s">
        <v>1772</v>
      </c>
      <c r="G139" s="193" t="s">
        <v>1773</v>
      </c>
      <c r="H139" s="193" t="s">
        <v>670</v>
      </c>
      <c r="I139" s="193" t="s">
        <v>318</v>
      </c>
      <c r="J139" s="193" t="s">
        <v>2439</v>
      </c>
      <c r="K139" s="196" t="s">
        <v>550</v>
      </c>
      <c r="L139" s="259" t="s">
        <v>854</v>
      </c>
      <c r="M139" s="193" t="s">
        <v>4394</v>
      </c>
    </row>
    <row r="140" spans="1:13" ht="17.25">
      <c r="A140" s="193" t="str">
        <f t="shared" si="1"/>
        <v>DeclarationB8</v>
      </c>
      <c r="B140" s="193" t="s">
        <v>1855</v>
      </c>
      <c r="C140" s="193" t="s">
        <v>1818</v>
      </c>
      <c r="D140" s="193" t="s">
        <v>1473</v>
      </c>
      <c r="E140" s="193" t="s">
        <v>2727</v>
      </c>
      <c r="F140" s="195" t="s">
        <v>2002</v>
      </c>
      <c r="G140" s="193" t="s">
        <v>1987</v>
      </c>
      <c r="H140" s="193" t="s">
        <v>1516</v>
      </c>
      <c r="I140" s="193" t="s">
        <v>319</v>
      </c>
      <c r="J140" s="193" t="s">
        <v>1517</v>
      </c>
      <c r="K140" s="196" t="s">
        <v>551</v>
      </c>
      <c r="L140" s="259" t="s">
        <v>855</v>
      </c>
      <c r="M140" s="193" t="s">
        <v>4395</v>
      </c>
    </row>
    <row r="141" spans="1:13" ht="17.25">
      <c r="A141" s="193" t="str">
        <f t="shared" si="1"/>
        <v>DeclarationB9</v>
      </c>
      <c r="B141" s="193" t="s">
        <v>1855</v>
      </c>
      <c r="C141" s="193" t="s">
        <v>1819</v>
      </c>
      <c r="D141" s="193" t="s">
        <v>914</v>
      </c>
      <c r="E141" s="195" t="s">
        <v>472</v>
      </c>
      <c r="F141" s="195" t="s">
        <v>590</v>
      </c>
      <c r="G141" s="193" t="s">
        <v>978</v>
      </c>
      <c r="H141" s="193" t="s">
        <v>1518</v>
      </c>
      <c r="I141" s="193" t="s">
        <v>320</v>
      </c>
      <c r="J141" s="193" t="s">
        <v>4078</v>
      </c>
      <c r="K141" s="196" t="s">
        <v>552</v>
      </c>
      <c r="L141" s="259" t="s">
        <v>856</v>
      </c>
      <c r="M141" s="193" t="s">
        <v>4396</v>
      </c>
    </row>
    <row r="142" spans="1:13" ht="28.5">
      <c r="A142" s="193" t="str">
        <f t="shared" si="1"/>
        <v>DeclarationB10</v>
      </c>
      <c r="B142" s="193" t="s">
        <v>1855</v>
      </c>
      <c r="C142" s="193" t="s">
        <v>931</v>
      </c>
      <c r="D142" s="193" t="s">
        <v>928</v>
      </c>
      <c r="E142" s="193" t="s">
        <v>744</v>
      </c>
      <c r="F142" s="195" t="s">
        <v>591</v>
      </c>
      <c r="G142" s="193" t="s">
        <v>979</v>
      </c>
      <c r="H142" s="193" t="s">
        <v>932</v>
      </c>
      <c r="I142" s="193" t="s">
        <v>321</v>
      </c>
      <c r="J142" s="193" t="s">
        <v>4079</v>
      </c>
      <c r="K142" s="196" t="s">
        <v>553</v>
      </c>
      <c r="L142" s="259" t="s">
        <v>935</v>
      </c>
      <c r="M142" s="193" t="s">
        <v>4397</v>
      </c>
    </row>
    <row r="143" spans="1:13" ht="28.5">
      <c r="A143" s="193" t="str">
        <f>B143&amp;C143</f>
        <v>DeclarationB10A</v>
      </c>
      <c r="B143" s="193" t="s">
        <v>1855</v>
      </c>
      <c r="C143" s="193" t="s">
        <v>2728</v>
      </c>
      <c r="D143" s="193" t="s">
        <v>928</v>
      </c>
      <c r="E143" s="193" t="s">
        <v>744</v>
      </c>
      <c r="F143" s="195" t="s">
        <v>591</v>
      </c>
      <c r="G143" s="193" t="s">
        <v>979</v>
      </c>
      <c r="H143" s="193" t="s">
        <v>932</v>
      </c>
      <c r="I143" s="193" t="s">
        <v>321</v>
      </c>
      <c r="J143" s="193" t="s">
        <v>4079</v>
      </c>
      <c r="K143" s="196" t="s">
        <v>553</v>
      </c>
      <c r="L143" s="259" t="s">
        <v>935</v>
      </c>
      <c r="M143" s="193" t="s">
        <v>4397</v>
      </c>
    </row>
    <row r="144" spans="1:13" ht="28.5">
      <c r="A144" s="193" t="str">
        <f>B144&amp;C144</f>
        <v>DeclarationB10C</v>
      </c>
      <c r="B144" s="193" t="s">
        <v>1855</v>
      </c>
      <c r="C144" s="193" t="s">
        <v>2729</v>
      </c>
      <c r="D144" s="193" t="s">
        <v>929</v>
      </c>
      <c r="E144" s="193" t="s">
        <v>2730</v>
      </c>
      <c r="F144" s="195" t="s">
        <v>592</v>
      </c>
      <c r="G144" s="193" t="s">
        <v>980</v>
      </c>
      <c r="H144" s="193" t="s">
        <v>933</v>
      </c>
      <c r="I144" s="193" t="s">
        <v>322</v>
      </c>
      <c r="J144" s="193" t="s">
        <v>4080</v>
      </c>
      <c r="K144" s="196" t="s">
        <v>554</v>
      </c>
      <c r="L144" s="259" t="s">
        <v>936</v>
      </c>
      <c r="M144" s="193" t="s">
        <v>4398</v>
      </c>
    </row>
    <row r="145" spans="1:13" ht="42.75">
      <c r="A145" s="193" t="str">
        <f>B145&amp;C145</f>
        <v>DeclarationB10B</v>
      </c>
      <c r="B145" s="193" t="s">
        <v>1855</v>
      </c>
      <c r="C145" s="193" t="s">
        <v>2731</v>
      </c>
      <c r="D145" s="193" t="s">
        <v>930</v>
      </c>
      <c r="E145" s="195" t="s">
        <v>745</v>
      </c>
      <c r="F145" s="195" t="s">
        <v>504</v>
      </c>
      <c r="G145" s="193" t="s">
        <v>981</v>
      </c>
      <c r="H145" s="193" t="s">
        <v>671</v>
      </c>
      <c r="I145" s="193" t="s">
        <v>323</v>
      </c>
      <c r="J145" s="193" t="s">
        <v>934</v>
      </c>
      <c r="K145" s="196" t="s">
        <v>555</v>
      </c>
      <c r="L145" s="259" t="s">
        <v>937</v>
      </c>
      <c r="M145" s="193" t="s">
        <v>4399</v>
      </c>
    </row>
    <row r="146" spans="1:13" s="220" customFormat="1" ht="42.75">
      <c r="A146" s="193" t="str">
        <f>B146&amp;C146</f>
        <v>DeclarationD11</v>
      </c>
      <c r="B146" s="193" t="s">
        <v>1855</v>
      </c>
      <c r="C146" s="193" t="s">
        <v>3052</v>
      </c>
      <c r="D146" s="193" t="s">
        <v>3051</v>
      </c>
      <c r="E146" s="193" t="s">
        <v>3554</v>
      </c>
      <c r="F146" s="193" t="s">
        <v>3555</v>
      </c>
      <c r="G146" s="193" t="s">
        <v>3556</v>
      </c>
      <c r="H146" s="193" t="s">
        <v>3557</v>
      </c>
      <c r="I146" s="193" t="s">
        <v>3558</v>
      </c>
      <c r="J146" s="193" t="s">
        <v>3559</v>
      </c>
      <c r="K146" s="193" t="s">
        <v>3560</v>
      </c>
      <c r="L146" s="193" t="s">
        <v>3561</v>
      </c>
      <c r="M146" s="193" t="s">
        <v>4400</v>
      </c>
    </row>
    <row r="147" spans="1:13" ht="42.75">
      <c r="A147" s="193" t="str">
        <f t="shared" si="1"/>
        <v>DeclarationB12</v>
      </c>
      <c r="B147" s="193" t="s">
        <v>1855</v>
      </c>
      <c r="C147" s="193" t="s">
        <v>1822</v>
      </c>
      <c r="D147" s="193" t="s">
        <v>875</v>
      </c>
      <c r="E147" s="195" t="s">
        <v>746</v>
      </c>
      <c r="F147" s="195" t="s">
        <v>2003</v>
      </c>
      <c r="G147" s="193" t="s">
        <v>1988</v>
      </c>
      <c r="H147" s="193" t="s">
        <v>672</v>
      </c>
      <c r="I147" s="193" t="s">
        <v>324</v>
      </c>
      <c r="J147" s="193" t="s">
        <v>4081</v>
      </c>
      <c r="K147" s="196" t="s">
        <v>556</v>
      </c>
      <c r="L147" s="259" t="s">
        <v>857</v>
      </c>
      <c r="M147" s="193" t="s">
        <v>4401</v>
      </c>
    </row>
    <row r="148" spans="1:13" ht="28.5">
      <c r="A148" s="193" t="str">
        <f t="shared" si="1"/>
        <v>DeclarationB13</v>
      </c>
      <c r="B148" s="193" t="s">
        <v>1855</v>
      </c>
      <c r="C148" s="193" t="s">
        <v>1823</v>
      </c>
      <c r="D148" s="193" t="s">
        <v>876</v>
      </c>
      <c r="E148" s="195" t="s">
        <v>747</v>
      </c>
      <c r="F148" s="195" t="s">
        <v>593</v>
      </c>
      <c r="G148" s="193" t="s">
        <v>982</v>
      </c>
      <c r="H148" s="193" t="s">
        <v>673</v>
      </c>
      <c r="I148" s="193" t="s">
        <v>325</v>
      </c>
      <c r="J148" s="193" t="s">
        <v>4082</v>
      </c>
      <c r="K148" s="196" t="s">
        <v>557</v>
      </c>
      <c r="L148" s="259" t="s">
        <v>78</v>
      </c>
      <c r="M148" s="193" t="s">
        <v>4402</v>
      </c>
    </row>
    <row r="149" spans="1:13" ht="28.5">
      <c r="A149" s="193" t="str">
        <f t="shared" si="1"/>
        <v>DeclarationB14</v>
      </c>
      <c r="B149" s="193" t="s">
        <v>1855</v>
      </c>
      <c r="C149" s="193" t="s">
        <v>1824</v>
      </c>
      <c r="D149" s="193" t="s">
        <v>1470</v>
      </c>
      <c r="E149" s="195" t="s">
        <v>748</v>
      </c>
      <c r="F149" s="195" t="s">
        <v>2004</v>
      </c>
      <c r="G149" s="193" t="s">
        <v>1989</v>
      </c>
      <c r="H149" s="193" t="s">
        <v>1519</v>
      </c>
      <c r="I149" s="193" t="s">
        <v>326</v>
      </c>
      <c r="J149" s="193" t="s">
        <v>1519</v>
      </c>
      <c r="K149" s="196" t="s">
        <v>558</v>
      </c>
      <c r="L149" s="259" t="s">
        <v>858</v>
      </c>
      <c r="M149" s="193" t="s">
        <v>4403</v>
      </c>
    </row>
    <row r="150" spans="1:13" ht="28.5">
      <c r="A150" s="193" t="str">
        <f t="shared" si="1"/>
        <v>DeclarationB15</v>
      </c>
      <c r="B150" s="193" t="s">
        <v>1855</v>
      </c>
      <c r="C150" s="193" t="s">
        <v>1825</v>
      </c>
      <c r="D150" s="193" t="s">
        <v>877</v>
      </c>
      <c r="E150" s="193" t="s">
        <v>2732</v>
      </c>
      <c r="F150" s="195" t="s">
        <v>594</v>
      </c>
      <c r="G150" s="193" t="s">
        <v>1520</v>
      </c>
      <c r="H150" s="193" t="s">
        <v>674</v>
      </c>
      <c r="I150" s="193" t="s">
        <v>327</v>
      </c>
      <c r="J150" s="193" t="s">
        <v>4083</v>
      </c>
      <c r="K150" s="196" t="s">
        <v>559</v>
      </c>
      <c r="L150" s="259" t="s">
        <v>244</v>
      </c>
      <c r="M150" s="193" t="s">
        <v>4404</v>
      </c>
    </row>
    <row r="151" spans="1:13" ht="28.5">
      <c r="A151" s="193" t="str">
        <f t="shared" si="1"/>
        <v>DeclarationB16</v>
      </c>
      <c r="B151" s="193" t="s">
        <v>1855</v>
      </c>
      <c r="C151" s="193" t="s">
        <v>1826</v>
      </c>
      <c r="D151" s="193" t="s">
        <v>878</v>
      </c>
      <c r="E151" s="193" t="s">
        <v>2733</v>
      </c>
      <c r="F151" s="195" t="s">
        <v>595</v>
      </c>
      <c r="G151" s="193" t="s">
        <v>1990</v>
      </c>
      <c r="H151" s="193" t="s">
        <v>675</v>
      </c>
      <c r="I151" s="193" t="s">
        <v>328</v>
      </c>
      <c r="J151" s="193" t="s">
        <v>4084</v>
      </c>
      <c r="K151" s="196" t="s">
        <v>560</v>
      </c>
      <c r="L151" s="259" t="s">
        <v>245</v>
      </c>
      <c r="M151" s="193" t="s">
        <v>4405</v>
      </c>
    </row>
    <row r="152" spans="1:13" ht="28.5">
      <c r="A152" s="193" t="str">
        <f t="shared" si="1"/>
        <v>DeclarationB17</v>
      </c>
      <c r="B152" s="193" t="s">
        <v>1855</v>
      </c>
      <c r="C152" s="193" t="s">
        <v>1827</v>
      </c>
      <c r="D152" s="193" t="s">
        <v>879</v>
      </c>
      <c r="E152" s="193" t="s">
        <v>2734</v>
      </c>
      <c r="F152" s="195" t="s">
        <v>596</v>
      </c>
      <c r="G152" s="193" t="s">
        <v>983</v>
      </c>
      <c r="H152" s="193" t="s">
        <v>676</v>
      </c>
      <c r="I152" s="193" t="s">
        <v>329</v>
      </c>
      <c r="J152" s="193" t="s">
        <v>4085</v>
      </c>
      <c r="K152" s="196" t="s">
        <v>561</v>
      </c>
      <c r="L152" s="259" t="s">
        <v>246</v>
      </c>
      <c r="M152" s="193" t="s">
        <v>4406</v>
      </c>
    </row>
    <row r="153" spans="1:13" ht="28.5">
      <c r="A153" s="193" t="str">
        <f t="shared" si="1"/>
        <v>DeclarationB18</v>
      </c>
      <c r="B153" s="193" t="s">
        <v>1855</v>
      </c>
      <c r="C153" s="193" t="s">
        <v>1828</v>
      </c>
      <c r="D153" s="193" t="s">
        <v>918</v>
      </c>
      <c r="E153" s="193" t="s">
        <v>2735</v>
      </c>
      <c r="F153" s="195" t="s">
        <v>1866</v>
      </c>
      <c r="G153" s="193" t="s">
        <v>984</v>
      </c>
      <c r="H153" s="193" t="s">
        <v>182</v>
      </c>
      <c r="I153" s="193" t="s">
        <v>330</v>
      </c>
      <c r="J153" s="193" t="s">
        <v>2613</v>
      </c>
      <c r="K153" s="196" t="s">
        <v>562</v>
      </c>
      <c r="L153" s="259" t="s">
        <v>247</v>
      </c>
      <c r="M153" s="193" t="s">
        <v>4407</v>
      </c>
    </row>
    <row r="154" spans="1:13" ht="28.5">
      <c r="A154" s="193" t="str">
        <f t="shared" si="1"/>
        <v>DeclarationB19</v>
      </c>
      <c r="B154" s="193" t="s">
        <v>1855</v>
      </c>
      <c r="C154" s="193" t="s">
        <v>1829</v>
      </c>
      <c r="D154" s="193" t="s">
        <v>919</v>
      </c>
      <c r="E154" s="193" t="s">
        <v>2736</v>
      </c>
      <c r="F154" s="195" t="s">
        <v>1867</v>
      </c>
      <c r="G154" s="193" t="s">
        <v>985</v>
      </c>
      <c r="H154" s="193" t="s">
        <v>1176</v>
      </c>
      <c r="I154" s="193" t="s">
        <v>331</v>
      </c>
      <c r="J154" s="193" t="s">
        <v>4086</v>
      </c>
      <c r="K154" s="196" t="s">
        <v>563</v>
      </c>
      <c r="L154" s="259" t="s">
        <v>248</v>
      </c>
      <c r="M154" s="193" t="s">
        <v>4408</v>
      </c>
    </row>
    <row r="155" spans="1:13" ht="28.5">
      <c r="A155" s="193" t="str">
        <f t="shared" si="1"/>
        <v>DeclarationB20</v>
      </c>
      <c r="B155" s="193" t="s">
        <v>1855</v>
      </c>
      <c r="C155" s="193" t="s">
        <v>1830</v>
      </c>
      <c r="D155" s="193" t="s">
        <v>920</v>
      </c>
      <c r="E155" s="193" t="s">
        <v>2737</v>
      </c>
      <c r="F155" s="195" t="s">
        <v>1868</v>
      </c>
      <c r="G155" s="193" t="s">
        <v>986</v>
      </c>
      <c r="H155" s="193" t="s">
        <v>677</v>
      </c>
      <c r="I155" s="193" t="s">
        <v>332</v>
      </c>
      <c r="J155" s="193" t="s">
        <v>4087</v>
      </c>
      <c r="K155" s="196" t="s">
        <v>564</v>
      </c>
      <c r="L155" s="259" t="s">
        <v>249</v>
      </c>
      <c r="M155" s="193" t="s">
        <v>4409</v>
      </c>
    </row>
    <row r="156" spans="1:13" ht="28.5">
      <c r="A156" s="193" t="str">
        <f t="shared" si="1"/>
        <v>DeclarationB21</v>
      </c>
      <c r="B156" s="193" t="s">
        <v>1855</v>
      </c>
      <c r="C156" s="193" t="s">
        <v>1831</v>
      </c>
      <c r="D156" s="193" t="s">
        <v>921</v>
      </c>
      <c r="E156" s="193" t="s">
        <v>2738</v>
      </c>
      <c r="F156" s="195" t="s">
        <v>597</v>
      </c>
      <c r="G156" s="193" t="s">
        <v>987</v>
      </c>
      <c r="H156" s="193" t="s">
        <v>678</v>
      </c>
      <c r="I156" s="193" t="s">
        <v>333</v>
      </c>
      <c r="J156" s="193" t="s">
        <v>4088</v>
      </c>
      <c r="K156" s="196" t="s">
        <v>565</v>
      </c>
      <c r="L156" s="259" t="s">
        <v>250</v>
      </c>
      <c r="M156" s="193" t="s">
        <v>4410</v>
      </c>
    </row>
    <row r="157" spans="1:13" ht="28.5">
      <c r="A157" s="193" t="str">
        <f t="shared" si="1"/>
        <v>DeclarationB22</v>
      </c>
      <c r="B157" s="193" t="s">
        <v>1855</v>
      </c>
      <c r="C157" s="193" t="s">
        <v>1832</v>
      </c>
      <c r="D157" s="193" t="s">
        <v>880</v>
      </c>
      <c r="E157" s="193" t="s">
        <v>2739</v>
      </c>
      <c r="F157" s="195" t="s">
        <v>2005</v>
      </c>
      <c r="G157" s="193" t="s">
        <v>988</v>
      </c>
      <c r="H157" s="193" t="s">
        <v>679</v>
      </c>
      <c r="I157" s="193" t="s">
        <v>334</v>
      </c>
      <c r="J157" s="193" t="s">
        <v>2614</v>
      </c>
      <c r="K157" s="196" t="s">
        <v>566</v>
      </c>
      <c r="L157" s="259" t="s">
        <v>251</v>
      </c>
      <c r="M157" s="193" t="s">
        <v>4411</v>
      </c>
    </row>
    <row r="158" spans="1:13" ht="42.75">
      <c r="A158" s="193" t="str">
        <f t="shared" si="1"/>
        <v>DeclarationB24</v>
      </c>
      <c r="B158" s="193" t="s">
        <v>1855</v>
      </c>
      <c r="C158" s="193" t="s">
        <v>1863</v>
      </c>
      <c r="D158" s="193" t="s">
        <v>2751</v>
      </c>
      <c r="E158" s="195" t="s">
        <v>749</v>
      </c>
      <c r="F158" s="195" t="s">
        <v>598</v>
      </c>
      <c r="G158" s="193" t="s">
        <v>989</v>
      </c>
      <c r="H158" s="193" t="s">
        <v>680</v>
      </c>
      <c r="I158" s="193" t="s">
        <v>335</v>
      </c>
      <c r="J158" s="193" t="s">
        <v>4089</v>
      </c>
      <c r="K158" s="196" t="s">
        <v>567</v>
      </c>
      <c r="L158" s="259" t="s">
        <v>859</v>
      </c>
      <c r="M158" s="193" t="s">
        <v>4412</v>
      </c>
    </row>
    <row r="159" spans="1:13" ht="28.5">
      <c r="A159" s="193" t="str">
        <f>B159&amp;C159</f>
        <v>DeclarationB25</v>
      </c>
      <c r="B159" s="193" t="s">
        <v>1855</v>
      </c>
      <c r="C159" s="193" t="s">
        <v>890</v>
      </c>
      <c r="D159" s="194" t="s">
        <v>2776</v>
      </c>
      <c r="E159" s="194" t="s">
        <v>2840</v>
      </c>
      <c r="F159" s="208" t="s">
        <v>4021</v>
      </c>
      <c r="G159" s="194" t="s">
        <v>2841</v>
      </c>
      <c r="H159" s="194" t="s">
        <v>2842</v>
      </c>
      <c r="I159" s="194" t="s">
        <v>2843</v>
      </c>
      <c r="J159" s="194" t="s">
        <v>2844</v>
      </c>
      <c r="K159" s="194" t="s">
        <v>2845</v>
      </c>
      <c r="L159" s="194" t="s">
        <v>2846</v>
      </c>
      <c r="M159" s="194" t="s">
        <v>4413</v>
      </c>
    </row>
    <row r="160" spans="1:13" ht="63.75">
      <c r="A160" s="193" t="str">
        <f t="shared" si="1"/>
        <v>DeclarationB31</v>
      </c>
      <c r="B160" s="193" t="s">
        <v>1855</v>
      </c>
      <c r="C160" s="193" t="s">
        <v>891</v>
      </c>
      <c r="D160" s="194" t="s">
        <v>2777</v>
      </c>
      <c r="E160" s="194" t="s">
        <v>4147</v>
      </c>
      <c r="F160" s="208" t="s">
        <v>4143</v>
      </c>
      <c r="G160" s="194" t="s">
        <v>2847</v>
      </c>
      <c r="H160" s="194" t="s">
        <v>2848</v>
      </c>
      <c r="I160" s="194" t="s">
        <v>2849</v>
      </c>
      <c r="J160" s="194" t="s">
        <v>2850</v>
      </c>
      <c r="K160" s="194" t="s">
        <v>2851</v>
      </c>
      <c r="L160" s="194" t="s">
        <v>2852</v>
      </c>
      <c r="M160" s="194" t="s">
        <v>4414</v>
      </c>
    </row>
    <row r="161" spans="1:13" ht="51">
      <c r="A161" s="193" t="str">
        <f t="shared" si="1"/>
        <v>DeclarationB37</v>
      </c>
      <c r="B161" s="193" t="s">
        <v>1855</v>
      </c>
      <c r="C161" s="193" t="s">
        <v>892</v>
      </c>
      <c r="D161" s="194" t="s">
        <v>4276</v>
      </c>
      <c r="E161" s="245" t="s">
        <v>4689</v>
      </c>
      <c r="F161" s="208" t="s">
        <v>4690</v>
      </c>
      <c r="G161" s="245" t="s">
        <v>4691</v>
      </c>
      <c r="H161" s="245" t="s">
        <v>4692</v>
      </c>
      <c r="I161" s="245" t="s">
        <v>4693</v>
      </c>
      <c r="J161" s="273" t="s">
        <v>4694</v>
      </c>
      <c r="K161" s="245" t="s">
        <v>4695</v>
      </c>
      <c r="L161" s="245" t="s">
        <v>4696</v>
      </c>
      <c r="M161" s="246" t="s">
        <v>4697</v>
      </c>
    </row>
    <row r="162" spans="1:13" ht="51">
      <c r="A162" s="193" t="str">
        <f t="shared" si="1"/>
        <v>DeclarationB43</v>
      </c>
      <c r="B162" s="193" t="s">
        <v>1855</v>
      </c>
      <c r="C162" s="193" t="s">
        <v>893</v>
      </c>
      <c r="D162" s="194" t="s">
        <v>2883</v>
      </c>
      <c r="E162" s="194" t="s">
        <v>2887</v>
      </c>
      <c r="F162" s="208" t="s">
        <v>4144</v>
      </c>
      <c r="G162" s="194" t="s">
        <v>2891</v>
      </c>
      <c r="H162" s="194" t="s">
        <v>2894</v>
      </c>
      <c r="I162" s="194" t="s">
        <v>2898</v>
      </c>
      <c r="J162" s="194" t="s">
        <v>4139</v>
      </c>
      <c r="K162" s="194" t="s">
        <v>2902</v>
      </c>
      <c r="L162" s="194" t="s">
        <v>2906</v>
      </c>
      <c r="M162" s="194" t="s">
        <v>4415</v>
      </c>
    </row>
    <row r="163" spans="1:13" ht="51">
      <c r="A163" s="193" t="str">
        <f t="shared" si="1"/>
        <v>DeclarationB49</v>
      </c>
      <c r="B163" s="193" t="s">
        <v>1855</v>
      </c>
      <c r="C163" s="193" t="s">
        <v>894</v>
      </c>
      <c r="D163" s="194" t="s">
        <v>2884</v>
      </c>
      <c r="E163" s="194" t="s">
        <v>2888</v>
      </c>
      <c r="F163" s="208" t="s">
        <v>4701</v>
      </c>
      <c r="G163" s="194" t="s">
        <v>4100</v>
      </c>
      <c r="H163" s="194" t="s">
        <v>2895</v>
      </c>
      <c r="I163" s="194" t="s">
        <v>2899</v>
      </c>
      <c r="J163" s="194" t="s">
        <v>4140</v>
      </c>
      <c r="K163" s="194" t="s">
        <v>2903</v>
      </c>
      <c r="L163" s="194" t="s">
        <v>2907</v>
      </c>
      <c r="M163" s="194" t="s">
        <v>4416</v>
      </c>
    </row>
    <row r="164" spans="1:13" ht="38.25">
      <c r="A164" s="193" t="str">
        <f t="shared" si="1"/>
        <v>DeclarationB55</v>
      </c>
      <c r="B164" s="193" t="s">
        <v>1855</v>
      </c>
      <c r="C164" s="193" t="s">
        <v>895</v>
      </c>
      <c r="D164" s="194" t="s">
        <v>2885</v>
      </c>
      <c r="E164" s="194" t="s">
        <v>2889</v>
      </c>
      <c r="F164" s="208" t="s">
        <v>4145</v>
      </c>
      <c r="G164" s="194" t="s">
        <v>2892</v>
      </c>
      <c r="H164" s="194" t="s">
        <v>2896</v>
      </c>
      <c r="I164" s="194" t="s">
        <v>2900</v>
      </c>
      <c r="J164" s="194" t="s">
        <v>4141</v>
      </c>
      <c r="K164" s="194" t="s">
        <v>2904</v>
      </c>
      <c r="L164" s="194" t="s">
        <v>2908</v>
      </c>
      <c r="M164" s="194" t="s">
        <v>4417</v>
      </c>
    </row>
    <row r="165" spans="1:13" ht="51">
      <c r="A165" s="193" t="str">
        <f t="shared" si="1"/>
        <v>DeclarationB61</v>
      </c>
      <c r="B165" s="193" t="s">
        <v>1855</v>
      </c>
      <c r="C165" s="193" t="s">
        <v>1870</v>
      </c>
      <c r="D165" s="194" t="s">
        <v>2886</v>
      </c>
      <c r="E165" s="194" t="s">
        <v>2890</v>
      </c>
      <c r="F165" s="208" t="s">
        <v>4146</v>
      </c>
      <c r="G165" s="194" t="s">
        <v>2893</v>
      </c>
      <c r="H165" s="194" t="s">
        <v>2897</v>
      </c>
      <c r="I165" s="194" t="s">
        <v>2901</v>
      </c>
      <c r="J165" s="194" t="s">
        <v>4142</v>
      </c>
      <c r="K165" s="194" t="s">
        <v>2905</v>
      </c>
      <c r="L165" s="194" t="s">
        <v>2909</v>
      </c>
      <c r="M165" s="194" t="s">
        <v>4418</v>
      </c>
    </row>
    <row r="166" spans="1:13" ht="28.5">
      <c r="A166" s="193" t="str">
        <f t="shared" si="1"/>
        <v>DeclarationB67</v>
      </c>
      <c r="B166" s="193" t="s">
        <v>1855</v>
      </c>
      <c r="C166" s="193" t="s">
        <v>2444</v>
      </c>
      <c r="D166" s="193" t="s">
        <v>1928</v>
      </c>
      <c r="E166" s="195" t="s">
        <v>750</v>
      </c>
      <c r="F166" s="195" t="s">
        <v>1774</v>
      </c>
      <c r="G166" s="193" t="s">
        <v>1775</v>
      </c>
      <c r="H166" s="193" t="s">
        <v>2428</v>
      </c>
      <c r="I166" s="193" t="s">
        <v>336</v>
      </c>
      <c r="J166" s="193" t="s">
        <v>2440</v>
      </c>
      <c r="K166" s="196" t="s">
        <v>391</v>
      </c>
      <c r="L166" s="259" t="s">
        <v>1164</v>
      </c>
      <c r="M166" s="193" t="s">
        <v>4419</v>
      </c>
    </row>
    <row r="167" spans="1:13" ht="42.75">
      <c r="A167" s="193" t="str">
        <f t="shared" si="1"/>
        <v>DeclarationB69</v>
      </c>
      <c r="B167" s="193" t="s">
        <v>1855</v>
      </c>
      <c r="C167" s="193" t="s">
        <v>2461</v>
      </c>
      <c r="D167" s="193" t="s">
        <v>3041</v>
      </c>
      <c r="E167" s="195" t="s">
        <v>4091</v>
      </c>
      <c r="F167" s="195" t="s">
        <v>390</v>
      </c>
      <c r="G167" s="193" t="s">
        <v>1869</v>
      </c>
      <c r="H167" s="193" t="s">
        <v>681</v>
      </c>
      <c r="I167" s="193" t="s">
        <v>337</v>
      </c>
      <c r="J167" s="193" t="s">
        <v>4092</v>
      </c>
      <c r="K167" s="196" t="s">
        <v>392</v>
      </c>
      <c r="L167" s="259" t="s">
        <v>252</v>
      </c>
      <c r="M167" s="193" t="s">
        <v>4420</v>
      </c>
    </row>
    <row r="168" spans="1:13" ht="85.5">
      <c r="A168" s="193" t="str">
        <f t="shared" si="1"/>
        <v>DeclarationB71</v>
      </c>
      <c r="B168" s="193" t="s">
        <v>1855</v>
      </c>
      <c r="C168" s="193" t="s">
        <v>2462</v>
      </c>
      <c r="D168" s="193" t="s">
        <v>3042</v>
      </c>
      <c r="E168" s="195" t="s">
        <v>4090</v>
      </c>
      <c r="F168" s="195" t="s">
        <v>505</v>
      </c>
      <c r="G168" s="193" t="s">
        <v>990</v>
      </c>
      <c r="H168" s="193" t="s">
        <v>682</v>
      </c>
      <c r="I168" s="193" t="s">
        <v>338</v>
      </c>
      <c r="J168" s="193" t="s">
        <v>4099</v>
      </c>
      <c r="K168" s="196" t="s">
        <v>393</v>
      </c>
      <c r="L168" s="259" t="s">
        <v>253</v>
      </c>
      <c r="M168" s="193" t="s">
        <v>4421</v>
      </c>
    </row>
    <row r="169" spans="1:13" ht="42.75">
      <c r="A169" s="193" t="str">
        <f t="shared" ref="A169:A188" si="2">B169&amp;C169</f>
        <v>DeclarationB73</v>
      </c>
      <c r="B169" s="193" t="s">
        <v>1855</v>
      </c>
      <c r="C169" s="193" t="s">
        <v>2466</v>
      </c>
      <c r="D169" s="193" t="s">
        <v>3043</v>
      </c>
      <c r="E169" s="195" t="s">
        <v>751</v>
      </c>
      <c r="F169" s="195" t="s">
        <v>506</v>
      </c>
      <c r="G169" s="193" t="s">
        <v>991</v>
      </c>
      <c r="H169" s="193" t="s">
        <v>683</v>
      </c>
      <c r="I169" s="193" t="s">
        <v>339</v>
      </c>
      <c r="J169" s="193" t="s">
        <v>4093</v>
      </c>
      <c r="K169" s="196" t="s">
        <v>1871</v>
      </c>
      <c r="L169" s="259" t="s">
        <v>1872</v>
      </c>
      <c r="M169" s="193" t="s">
        <v>4422</v>
      </c>
    </row>
    <row r="170" spans="1:13" ht="63.75">
      <c r="A170" s="193" t="str">
        <f t="shared" si="2"/>
        <v>DeclarationB75</v>
      </c>
      <c r="B170" s="193" t="s">
        <v>1855</v>
      </c>
      <c r="C170" s="193" t="s">
        <v>2467</v>
      </c>
      <c r="D170" s="194" t="s">
        <v>3044</v>
      </c>
      <c r="E170" s="194" t="s">
        <v>2853</v>
      </c>
      <c r="F170" s="208" t="s">
        <v>2778</v>
      </c>
      <c r="G170" s="194" t="s">
        <v>4101</v>
      </c>
      <c r="H170" s="194" t="s">
        <v>2854</v>
      </c>
      <c r="I170" s="194" t="s">
        <v>2855</v>
      </c>
      <c r="J170" s="194" t="s">
        <v>4094</v>
      </c>
      <c r="K170" s="194" t="s">
        <v>2856</v>
      </c>
      <c r="L170" s="194" t="s">
        <v>2857</v>
      </c>
      <c r="M170" s="194" t="s">
        <v>4423</v>
      </c>
    </row>
    <row r="171" spans="1:13" ht="40.5">
      <c r="A171" s="193" t="str">
        <f t="shared" si="2"/>
        <v>DeclarationB77</v>
      </c>
      <c r="B171" s="193" t="s">
        <v>1855</v>
      </c>
      <c r="C171" s="193" t="s">
        <v>2469</v>
      </c>
      <c r="D171" s="194" t="s">
        <v>3045</v>
      </c>
      <c r="E171" s="195" t="s">
        <v>752</v>
      </c>
      <c r="F171" s="195" t="s">
        <v>507</v>
      </c>
      <c r="G171" s="194" t="s">
        <v>992</v>
      </c>
      <c r="H171" s="194" t="s">
        <v>684</v>
      </c>
      <c r="I171" s="194" t="s">
        <v>340</v>
      </c>
      <c r="J171" s="194" t="s">
        <v>2620</v>
      </c>
      <c r="K171" s="196" t="s">
        <v>394</v>
      </c>
      <c r="L171" s="197" t="s">
        <v>2460</v>
      </c>
      <c r="M171" s="194" t="s">
        <v>4424</v>
      </c>
    </row>
    <row r="172" spans="1:13" s="220" customFormat="1" ht="114.75">
      <c r="A172" s="193" t="str">
        <f t="shared" si="2"/>
        <v>DeclarationB79</v>
      </c>
      <c r="B172" s="193" t="s">
        <v>1855</v>
      </c>
      <c r="C172" s="193" t="s">
        <v>897</v>
      </c>
      <c r="D172" s="194" t="s">
        <v>3046</v>
      </c>
      <c r="E172" s="194" t="s">
        <v>3562</v>
      </c>
      <c r="F172" s="208" t="s">
        <v>4022</v>
      </c>
      <c r="G172" s="194" t="s">
        <v>3563</v>
      </c>
      <c r="H172" s="194" t="s">
        <v>3564</v>
      </c>
      <c r="I172" s="194" t="s">
        <v>3565</v>
      </c>
      <c r="J172" s="194" t="s">
        <v>4095</v>
      </c>
      <c r="K172" s="194" t="s">
        <v>3566</v>
      </c>
      <c r="L172" s="194" t="s">
        <v>3567</v>
      </c>
      <c r="M172" s="194" t="s">
        <v>4425</v>
      </c>
    </row>
    <row r="173" spans="1:13" ht="40.5">
      <c r="A173" s="193" t="str">
        <f t="shared" si="2"/>
        <v>DeclarationB81</v>
      </c>
      <c r="B173" s="193" t="s">
        <v>1855</v>
      </c>
      <c r="C173" s="193" t="s">
        <v>898</v>
      </c>
      <c r="D173" s="193" t="s">
        <v>3047</v>
      </c>
      <c r="E173" s="195" t="s">
        <v>2463</v>
      </c>
      <c r="F173" s="195" t="s">
        <v>599</v>
      </c>
      <c r="G173" s="193" t="s">
        <v>993</v>
      </c>
      <c r="H173" s="193" t="s">
        <v>2464</v>
      </c>
      <c r="I173" s="193" t="s">
        <v>341</v>
      </c>
      <c r="J173" s="193" t="s">
        <v>4096</v>
      </c>
      <c r="K173" s="196" t="s">
        <v>2465</v>
      </c>
      <c r="L173" s="259" t="s">
        <v>2432</v>
      </c>
      <c r="M173" s="193" t="s">
        <v>4426</v>
      </c>
    </row>
    <row r="174" spans="1:13" ht="57">
      <c r="A174" s="193" t="str">
        <f t="shared" si="2"/>
        <v>DeclarationB83</v>
      </c>
      <c r="B174" s="193" t="s">
        <v>1855</v>
      </c>
      <c r="C174" s="193" t="s">
        <v>899</v>
      </c>
      <c r="D174" s="193" t="s">
        <v>3048</v>
      </c>
      <c r="E174" s="195" t="s">
        <v>753</v>
      </c>
      <c r="F174" s="195" t="s">
        <v>508</v>
      </c>
      <c r="G174" s="193" t="s">
        <v>994</v>
      </c>
      <c r="H174" s="193" t="s">
        <v>685</v>
      </c>
      <c r="I174" s="193" t="s">
        <v>342</v>
      </c>
      <c r="J174" s="193" t="s">
        <v>4097</v>
      </c>
      <c r="K174" s="196" t="s">
        <v>395</v>
      </c>
      <c r="L174" s="259" t="s">
        <v>254</v>
      </c>
      <c r="M174" s="193" t="s">
        <v>4427</v>
      </c>
    </row>
    <row r="175" spans="1:13" ht="42.75">
      <c r="A175" s="193" t="str">
        <f t="shared" si="2"/>
        <v>DeclarationB85</v>
      </c>
      <c r="B175" s="193" t="s">
        <v>1855</v>
      </c>
      <c r="C175" s="193" t="s">
        <v>900</v>
      </c>
      <c r="D175" s="193" t="s">
        <v>3049</v>
      </c>
      <c r="E175" s="195" t="s">
        <v>754</v>
      </c>
      <c r="F175" s="195" t="s">
        <v>600</v>
      </c>
      <c r="G175" s="193" t="s">
        <v>995</v>
      </c>
      <c r="H175" s="193" t="s">
        <v>2468</v>
      </c>
      <c r="I175" s="193" t="s">
        <v>343</v>
      </c>
      <c r="J175" s="193" t="s">
        <v>4098</v>
      </c>
      <c r="K175" s="196" t="s">
        <v>168</v>
      </c>
      <c r="L175" s="259" t="s">
        <v>2433</v>
      </c>
      <c r="M175" s="193" t="s">
        <v>4428</v>
      </c>
    </row>
    <row r="176" spans="1:13" ht="42.75">
      <c r="A176" s="193" t="str">
        <f t="shared" si="2"/>
        <v>DeclarationB87</v>
      </c>
      <c r="B176" s="193" t="s">
        <v>1855</v>
      </c>
      <c r="C176" s="193" t="s">
        <v>901</v>
      </c>
      <c r="D176" s="193" t="s">
        <v>3050</v>
      </c>
      <c r="E176" s="195" t="s">
        <v>755</v>
      </c>
      <c r="F176" s="195" t="s">
        <v>601</v>
      </c>
      <c r="G176" s="193" t="s">
        <v>2470</v>
      </c>
      <c r="H176" s="193" t="s">
        <v>2471</v>
      </c>
      <c r="I176" s="193" t="s">
        <v>344</v>
      </c>
      <c r="J176" s="193" t="s">
        <v>2472</v>
      </c>
      <c r="K176" s="196" t="s">
        <v>396</v>
      </c>
      <c r="L176" s="259" t="s">
        <v>2434</v>
      </c>
      <c r="M176" s="193" t="s">
        <v>4429</v>
      </c>
    </row>
    <row r="177" spans="1:13" ht="28.5">
      <c r="A177" s="193" t="str">
        <f t="shared" si="2"/>
        <v>DeclarationD25</v>
      </c>
      <c r="B177" s="193" t="s">
        <v>1855</v>
      </c>
      <c r="C177" s="193" t="s">
        <v>946</v>
      </c>
      <c r="D177" s="193" t="s">
        <v>1472</v>
      </c>
      <c r="E177" s="195" t="s">
        <v>1504</v>
      </c>
      <c r="F177" s="195" t="s">
        <v>1504</v>
      </c>
      <c r="G177" s="193" t="s">
        <v>1991</v>
      </c>
      <c r="H177" s="193" t="s">
        <v>2429</v>
      </c>
      <c r="I177" s="193" t="s">
        <v>1776</v>
      </c>
      <c r="J177" s="193" t="s">
        <v>1777</v>
      </c>
      <c r="K177" s="196" t="s">
        <v>1778</v>
      </c>
      <c r="L177" s="259" t="s">
        <v>861</v>
      </c>
      <c r="M177" s="193" t="s">
        <v>4430</v>
      </c>
    </row>
    <row r="178" spans="1:13" ht="28.5">
      <c r="A178" s="193" t="str">
        <f t="shared" si="2"/>
        <v>DeclarationB68</v>
      </c>
      <c r="B178" s="193" t="s">
        <v>1855</v>
      </c>
      <c r="C178" s="193" t="s">
        <v>896</v>
      </c>
      <c r="D178" s="193" t="s">
        <v>1929</v>
      </c>
      <c r="E178" s="195" t="s">
        <v>1788</v>
      </c>
      <c r="F178" s="195" t="s">
        <v>1789</v>
      </c>
      <c r="G178" s="193" t="s">
        <v>1790</v>
      </c>
      <c r="H178" s="193" t="s">
        <v>1929</v>
      </c>
      <c r="I178" s="193" t="s">
        <v>1791</v>
      </c>
      <c r="J178" s="193" t="s">
        <v>1792</v>
      </c>
      <c r="K178" s="196" t="s">
        <v>1787</v>
      </c>
      <c r="L178" s="259" t="s">
        <v>860</v>
      </c>
      <c r="M178" s="193" t="s">
        <v>4431</v>
      </c>
    </row>
    <row r="179" spans="1:13" ht="28.5">
      <c r="A179" s="193" t="str">
        <f t="shared" si="2"/>
        <v>DeclarationG25</v>
      </c>
      <c r="B179" s="193" t="s">
        <v>1855</v>
      </c>
      <c r="C179" s="193" t="s">
        <v>947</v>
      </c>
      <c r="D179" s="193" t="s">
        <v>1471</v>
      </c>
      <c r="E179" s="195" t="s">
        <v>1505</v>
      </c>
      <c r="F179" s="195" t="s">
        <v>2000</v>
      </c>
      <c r="G179" s="193" t="s">
        <v>1779</v>
      </c>
      <c r="H179" s="193" t="s">
        <v>1780</v>
      </c>
      <c r="I179" s="193" t="s">
        <v>1781</v>
      </c>
      <c r="J179" s="193" t="s">
        <v>1912</v>
      </c>
      <c r="K179" s="196" t="s">
        <v>1782</v>
      </c>
      <c r="L179" s="259" t="s">
        <v>862</v>
      </c>
      <c r="M179" s="193" t="s">
        <v>4432</v>
      </c>
    </row>
    <row r="180" spans="1:13" ht="28.5">
      <c r="A180" s="193" t="str">
        <f t="shared" si="2"/>
        <v>DeclarationB26</v>
      </c>
      <c r="B180" s="193" t="s">
        <v>1855</v>
      </c>
      <c r="C180" s="193" t="s">
        <v>938</v>
      </c>
      <c r="D180" s="193" t="s">
        <v>2473</v>
      </c>
      <c r="E180" s="195" t="s">
        <v>2619</v>
      </c>
      <c r="F180" s="195" t="s">
        <v>2474</v>
      </c>
      <c r="G180" s="193" t="s">
        <v>2475</v>
      </c>
      <c r="H180" s="193" t="s">
        <v>2476</v>
      </c>
      <c r="I180" s="193" t="s">
        <v>345</v>
      </c>
      <c r="J180" s="193" t="s">
        <v>2477</v>
      </c>
      <c r="K180" s="196" t="s">
        <v>2478</v>
      </c>
      <c r="L180" s="259" t="s">
        <v>2478</v>
      </c>
      <c r="M180" s="193" t="s">
        <v>4433</v>
      </c>
    </row>
    <row r="181" spans="1:13" ht="28.5">
      <c r="A181" s="193" t="str">
        <f t="shared" si="2"/>
        <v>DeclarationB27</v>
      </c>
      <c r="B181" s="193" t="s">
        <v>1855</v>
      </c>
      <c r="C181" s="193" t="s">
        <v>939</v>
      </c>
      <c r="D181" s="193" t="s">
        <v>2479</v>
      </c>
      <c r="E181" s="195" t="s">
        <v>2618</v>
      </c>
      <c r="F181" s="195" t="s">
        <v>2480</v>
      </c>
      <c r="G181" s="193" t="s">
        <v>2481</v>
      </c>
      <c r="H181" s="193" t="s">
        <v>2482</v>
      </c>
      <c r="I181" s="193" t="s">
        <v>346</v>
      </c>
      <c r="J181" s="193" t="s">
        <v>2483</v>
      </c>
      <c r="K181" s="196" t="s">
        <v>2484</v>
      </c>
      <c r="L181" s="259" t="s">
        <v>2485</v>
      </c>
      <c r="M181" s="193" t="s">
        <v>4434</v>
      </c>
    </row>
    <row r="182" spans="1:13" ht="28.5">
      <c r="A182" s="193" t="str">
        <f t="shared" si="2"/>
        <v>DeclarationB28</v>
      </c>
      <c r="B182" s="193" t="s">
        <v>1855</v>
      </c>
      <c r="C182" s="193" t="s">
        <v>940</v>
      </c>
      <c r="D182" s="193" t="s">
        <v>2486</v>
      </c>
      <c r="E182" s="195" t="s">
        <v>2617</v>
      </c>
      <c r="F182" s="195" t="s">
        <v>2487</v>
      </c>
      <c r="G182" s="193" t="s">
        <v>2488</v>
      </c>
      <c r="H182" s="193" t="s">
        <v>2489</v>
      </c>
      <c r="I182" s="193" t="s">
        <v>347</v>
      </c>
      <c r="J182" s="193" t="s">
        <v>2486</v>
      </c>
      <c r="K182" s="196" t="s">
        <v>2490</v>
      </c>
      <c r="L182" s="259" t="s">
        <v>2490</v>
      </c>
      <c r="M182" s="193" t="s">
        <v>4435</v>
      </c>
    </row>
    <row r="183" spans="1:13" ht="28.5">
      <c r="A183" s="193" t="str">
        <f t="shared" si="2"/>
        <v>DeclarationB29</v>
      </c>
      <c r="B183" s="193" t="s">
        <v>1855</v>
      </c>
      <c r="C183" s="193" t="s">
        <v>941</v>
      </c>
      <c r="D183" s="193" t="s">
        <v>2491</v>
      </c>
      <c r="E183" s="195" t="s">
        <v>2616</v>
      </c>
      <c r="F183" s="195" t="s">
        <v>2492</v>
      </c>
      <c r="G183" s="193" t="s">
        <v>2493</v>
      </c>
      <c r="H183" s="193" t="s">
        <v>2494</v>
      </c>
      <c r="I183" s="193" t="s">
        <v>348</v>
      </c>
      <c r="J183" s="193" t="s">
        <v>2495</v>
      </c>
      <c r="K183" s="196" t="s">
        <v>2496</v>
      </c>
      <c r="L183" s="259" t="s">
        <v>2496</v>
      </c>
      <c r="M183" s="193" t="s">
        <v>4436</v>
      </c>
    </row>
    <row r="184" spans="1:13" ht="28.5">
      <c r="A184" s="193" t="str">
        <f t="shared" si="2"/>
        <v>DeclarationB38</v>
      </c>
      <c r="B184" s="193" t="s">
        <v>1855</v>
      </c>
      <c r="C184" s="193" t="s">
        <v>942</v>
      </c>
      <c r="D184" s="193" t="s">
        <v>2473</v>
      </c>
      <c r="E184" s="195" t="s">
        <v>2619</v>
      </c>
      <c r="F184" s="195" t="s">
        <v>2474</v>
      </c>
      <c r="G184" s="193" t="s">
        <v>2475</v>
      </c>
      <c r="H184" s="193" t="s">
        <v>2476</v>
      </c>
      <c r="I184" s="193" t="s">
        <v>345</v>
      </c>
      <c r="J184" s="193" t="s">
        <v>2477</v>
      </c>
      <c r="K184" s="196" t="s">
        <v>2478</v>
      </c>
      <c r="L184" s="259" t="s">
        <v>2478</v>
      </c>
      <c r="M184" s="193" t="s">
        <v>4433</v>
      </c>
    </row>
    <row r="185" spans="1:13" ht="28.5">
      <c r="A185" s="193" t="str">
        <f t="shared" si="2"/>
        <v>DeclarationB39</v>
      </c>
      <c r="B185" s="193" t="s">
        <v>1855</v>
      </c>
      <c r="C185" s="193" t="s">
        <v>943</v>
      </c>
      <c r="D185" s="193" t="s">
        <v>2479</v>
      </c>
      <c r="E185" s="195" t="s">
        <v>2618</v>
      </c>
      <c r="F185" s="195" t="s">
        <v>2480</v>
      </c>
      <c r="G185" s="193" t="s">
        <v>2481</v>
      </c>
      <c r="H185" s="193" t="s">
        <v>2482</v>
      </c>
      <c r="I185" s="193" t="s">
        <v>346</v>
      </c>
      <c r="J185" s="193" t="s">
        <v>2483</v>
      </c>
      <c r="K185" s="196" t="s">
        <v>2484</v>
      </c>
      <c r="L185" s="259" t="s">
        <v>2485</v>
      </c>
      <c r="M185" s="193" t="s">
        <v>4434</v>
      </c>
    </row>
    <row r="186" spans="1:13" ht="28.5">
      <c r="A186" s="193" t="str">
        <f t="shared" si="2"/>
        <v>DeclarationB40</v>
      </c>
      <c r="B186" s="193" t="s">
        <v>1855</v>
      </c>
      <c r="C186" s="193" t="s">
        <v>944</v>
      </c>
      <c r="D186" s="193" t="s">
        <v>2486</v>
      </c>
      <c r="E186" s="195" t="s">
        <v>2617</v>
      </c>
      <c r="F186" s="195" t="s">
        <v>2487</v>
      </c>
      <c r="G186" s="193" t="s">
        <v>2488</v>
      </c>
      <c r="H186" s="193" t="s">
        <v>2489</v>
      </c>
      <c r="I186" s="193" t="s">
        <v>347</v>
      </c>
      <c r="J186" s="193" t="s">
        <v>2486</v>
      </c>
      <c r="K186" s="196" t="s">
        <v>2490</v>
      </c>
      <c r="L186" s="259" t="s">
        <v>2490</v>
      </c>
      <c r="M186" s="193" t="s">
        <v>4435</v>
      </c>
    </row>
    <row r="187" spans="1:13" ht="28.5">
      <c r="A187" s="193" t="str">
        <f t="shared" si="2"/>
        <v>DeclarationB41</v>
      </c>
      <c r="B187" s="193" t="s">
        <v>1855</v>
      </c>
      <c r="C187" s="193" t="s">
        <v>945</v>
      </c>
      <c r="D187" s="193" t="s">
        <v>2491</v>
      </c>
      <c r="E187" s="195" t="s">
        <v>2616</v>
      </c>
      <c r="F187" s="195" t="s">
        <v>2492</v>
      </c>
      <c r="G187" s="193" t="s">
        <v>2493</v>
      </c>
      <c r="H187" s="193" t="s">
        <v>2494</v>
      </c>
      <c r="I187" s="193" t="s">
        <v>348</v>
      </c>
      <c r="J187" s="193" t="s">
        <v>2495</v>
      </c>
      <c r="K187" s="196" t="s">
        <v>2496</v>
      </c>
      <c r="L187" s="259" t="s">
        <v>2496</v>
      </c>
      <c r="M187" s="193" t="s">
        <v>4436</v>
      </c>
    </row>
    <row r="188" spans="1:13" ht="28.5">
      <c r="A188" s="193" t="str">
        <f t="shared" si="2"/>
        <v>DeclarationAth</v>
      </c>
      <c r="B188" s="193" t="s">
        <v>1855</v>
      </c>
      <c r="C188" s="193" t="s">
        <v>2497</v>
      </c>
      <c r="D188" s="193" t="s">
        <v>1469</v>
      </c>
      <c r="E188" s="195" t="s">
        <v>756</v>
      </c>
      <c r="F188" s="195" t="s">
        <v>2001</v>
      </c>
      <c r="G188" s="193" t="s">
        <v>1783</v>
      </c>
      <c r="H188" s="193" t="s">
        <v>1784</v>
      </c>
      <c r="I188" s="193" t="s">
        <v>1785</v>
      </c>
      <c r="J188" s="193" t="s">
        <v>2441</v>
      </c>
      <c r="K188" s="196" t="s">
        <v>1786</v>
      </c>
      <c r="L188" s="259" t="s">
        <v>863</v>
      </c>
      <c r="M188" s="193" t="s">
        <v>4437</v>
      </c>
    </row>
    <row r="189" spans="1:13">
      <c r="D189" s="193" t="s">
        <v>904</v>
      </c>
      <c r="E189" s="195" t="s">
        <v>757</v>
      </c>
      <c r="F189" s="195" t="s">
        <v>602</v>
      </c>
      <c r="G189" s="193" t="s">
        <v>996</v>
      </c>
      <c r="H189" s="193" t="s">
        <v>686</v>
      </c>
      <c r="I189" s="193" t="s">
        <v>349</v>
      </c>
      <c r="J189" s="193" t="s">
        <v>20</v>
      </c>
      <c r="K189" s="196" t="s">
        <v>397</v>
      </c>
      <c r="L189" s="259" t="s">
        <v>255</v>
      </c>
      <c r="M189" s="193" t="s">
        <v>4438</v>
      </c>
    </row>
    <row r="190" spans="1:13">
      <c r="D190" s="193" t="s">
        <v>905</v>
      </c>
      <c r="E190" s="195" t="s">
        <v>758</v>
      </c>
      <c r="F190" s="195" t="s">
        <v>603</v>
      </c>
      <c r="G190" s="193" t="s">
        <v>997</v>
      </c>
      <c r="H190" s="193" t="s">
        <v>905</v>
      </c>
      <c r="I190" s="193" t="s">
        <v>350</v>
      </c>
      <c r="J190" s="193" t="s">
        <v>21</v>
      </c>
      <c r="K190" s="196" t="s">
        <v>905</v>
      </c>
      <c r="L190" s="259" t="s">
        <v>256</v>
      </c>
      <c r="M190" s="193" t="s">
        <v>4439</v>
      </c>
    </row>
    <row r="191" spans="1:13">
      <c r="D191" s="193" t="s">
        <v>906</v>
      </c>
      <c r="E191" s="195" t="s">
        <v>759</v>
      </c>
      <c r="F191" s="195" t="s">
        <v>604</v>
      </c>
      <c r="G191" s="193" t="s">
        <v>998</v>
      </c>
      <c r="H191" s="193" t="s">
        <v>687</v>
      </c>
      <c r="I191" s="193" t="s">
        <v>351</v>
      </c>
      <c r="J191" s="193" t="s">
        <v>22</v>
      </c>
      <c r="K191" s="196" t="s">
        <v>398</v>
      </c>
      <c r="L191" s="259" t="s">
        <v>257</v>
      </c>
      <c r="M191" s="193" t="s">
        <v>4440</v>
      </c>
    </row>
    <row r="192" spans="1:13">
      <c r="D192" s="193" t="s">
        <v>907</v>
      </c>
      <c r="E192" s="195" t="s">
        <v>760</v>
      </c>
      <c r="F192" s="195" t="s">
        <v>605</v>
      </c>
      <c r="G192" s="193" t="s">
        <v>999</v>
      </c>
      <c r="H192" s="193" t="s">
        <v>688</v>
      </c>
      <c r="I192" s="193" t="s">
        <v>352</v>
      </c>
      <c r="J192" s="193" t="s">
        <v>23</v>
      </c>
      <c r="K192" s="196" t="s">
        <v>399</v>
      </c>
      <c r="L192" s="259" t="s">
        <v>258</v>
      </c>
      <c r="M192" s="193" t="s">
        <v>4441</v>
      </c>
    </row>
    <row r="193" spans="1:13">
      <c r="D193" s="193" t="s">
        <v>4936</v>
      </c>
      <c r="E193" s="195" t="s">
        <v>4937</v>
      </c>
      <c r="F193" s="195" t="s">
        <v>606</v>
      </c>
      <c r="G193" s="193" t="s">
        <v>1000</v>
      </c>
      <c r="H193" s="193" t="s">
        <v>689</v>
      </c>
      <c r="I193" s="193" t="s">
        <v>353</v>
      </c>
      <c r="J193" s="193" t="s">
        <v>24</v>
      </c>
      <c r="K193" s="196" t="s">
        <v>400</v>
      </c>
      <c r="L193" s="259" t="s">
        <v>259</v>
      </c>
      <c r="M193" s="193" t="s">
        <v>4442</v>
      </c>
    </row>
    <row r="194" spans="1:13">
      <c r="D194" s="193" t="s">
        <v>909</v>
      </c>
      <c r="E194" s="195" t="s">
        <v>761</v>
      </c>
      <c r="F194" s="195" t="s">
        <v>607</v>
      </c>
      <c r="G194" s="193" t="s">
        <v>1001</v>
      </c>
      <c r="H194" s="193" t="s">
        <v>690</v>
      </c>
      <c r="I194" s="193" t="s">
        <v>354</v>
      </c>
      <c r="J194" s="193" t="s">
        <v>25</v>
      </c>
      <c r="K194" s="196" t="s">
        <v>401</v>
      </c>
      <c r="L194" s="259" t="s">
        <v>260</v>
      </c>
      <c r="M194" s="193" t="s">
        <v>4443</v>
      </c>
    </row>
    <row r="195" spans="1:13">
      <c r="D195" s="193" t="s">
        <v>910</v>
      </c>
      <c r="E195" s="195" t="s">
        <v>762</v>
      </c>
      <c r="F195" s="195" t="s">
        <v>608</v>
      </c>
      <c r="G195" s="193" t="s">
        <v>1002</v>
      </c>
      <c r="H195" s="193" t="s">
        <v>691</v>
      </c>
      <c r="I195" s="193" t="s">
        <v>355</v>
      </c>
      <c r="J195" s="193" t="s">
        <v>26</v>
      </c>
      <c r="K195" s="196" t="s">
        <v>402</v>
      </c>
      <c r="L195" s="259" t="s">
        <v>261</v>
      </c>
      <c r="M195" s="193" t="s">
        <v>4444</v>
      </c>
    </row>
    <row r="196" spans="1:13">
      <c r="D196" s="193" t="s">
        <v>912</v>
      </c>
      <c r="E196" s="195" t="s">
        <v>763</v>
      </c>
      <c r="F196" s="195" t="s">
        <v>609</v>
      </c>
      <c r="G196" s="193" t="s">
        <v>1003</v>
      </c>
      <c r="H196" s="193" t="s">
        <v>692</v>
      </c>
      <c r="I196" s="193" t="s">
        <v>356</v>
      </c>
      <c r="J196" s="193" t="s">
        <v>27</v>
      </c>
      <c r="K196" s="196" t="s">
        <v>403</v>
      </c>
      <c r="L196" s="259" t="s">
        <v>262</v>
      </c>
      <c r="M196" s="193" t="s">
        <v>4445</v>
      </c>
    </row>
    <row r="197" spans="1:13">
      <c r="D197" s="193" t="s">
        <v>911</v>
      </c>
      <c r="E197" s="195" t="s">
        <v>764</v>
      </c>
      <c r="F197" s="195" t="s">
        <v>610</v>
      </c>
      <c r="G197" s="193" t="s">
        <v>1004</v>
      </c>
      <c r="H197" s="193" t="s">
        <v>693</v>
      </c>
      <c r="I197" s="193" t="s">
        <v>357</v>
      </c>
      <c r="J197" s="193" t="s">
        <v>28</v>
      </c>
      <c r="K197" s="196" t="s">
        <v>404</v>
      </c>
      <c r="L197" s="259" t="s">
        <v>263</v>
      </c>
      <c r="M197" s="193" t="s">
        <v>4446</v>
      </c>
    </row>
    <row r="198" spans="1:13" s="220" customFormat="1" ht="409.6" customHeight="1">
      <c r="A198" s="193" t="str">
        <f t="shared" ref="A198:A239" si="3">B198&amp;C198</f>
        <v>Smelter Reference ListA1</v>
      </c>
      <c r="B198" s="193" t="s">
        <v>2779</v>
      </c>
      <c r="C198" s="193" t="s">
        <v>1185</v>
      </c>
      <c r="D198" s="194" t="s">
        <v>4891</v>
      </c>
      <c r="E198" s="304" t="s">
        <v>4942</v>
      </c>
      <c r="F198" s="245" t="s">
        <v>4949</v>
      </c>
      <c r="G198" s="245" t="s">
        <v>4952</v>
      </c>
      <c r="H198" s="245" t="s">
        <v>4959</v>
      </c>
      <c r="I198" s="245" t="s">
        <v>4962</v>
      </c>
      <c r="J198" s="245" t="s">
        <v>4969</v>
      </c>
      <c r="K198" s="245" t="s">
        <v>4972</v>
      </c>
      <c r="L198" s="245" t="s">
        <v>4979</v>
      </c>
      <c r="M198" s="246" t="s">
        <v>4982</v>
      </c>
    </row>
    <row r="199" spans="1:13" ht="42.75">
      <c r="A199" s="193" t="str">
        <f t="shared" si="3"/>
        <v>Smelter Reference ListA4</v>
      </c>
      <c r="B199" s="193" t="s">
        <v>2779</v>
      </c>
      <c r="C199" s="193" t="s">
        <v>1188</v>
      </c>
      <c r="D199" s="193" t="s">
        <v>1484</v>
      </c>
      <c r="E199" s="125"/>
      <c r="F199" s="195" t="s">
        <v>2006</v>
      </c>
      <c r="G199" s="193" t="s">
        <v>2007</v>
      </c>
      <c r="H199" s="193" t="s">
        <v>2498</v>
      </c>
      <c r="I199" s="193" t="s">
        <v>1484</v>
      </c>
      <c r="J199" s="259" t="s">
        <v>1799</v>
      </c>
      <c r="K199" s="196" t="s">
        <v>1484</v>
      </c>
      <c r="L199" s="259" t="s">
        <v>868</v>
      </c>
      <c r="M199" s="193" t="s">
        <v>4447</v>
      </c>
    </row>
    <row r="200" spans="1:13" ht="42.75">
      <c r="A200" s="193" t="str">
        <f t="shared" si="3"/>
        <v>Smelter Reference ListB4</v>
      </c>
      <c r="B200" s="193" t="s">
        <v>2779</v>
      </c>
      <c r="C200" s="193" t="s">
        <v>1814</v>
      </c>
      <c r="D200" s="193" t="s">
        <v>2779</v>
      </c>
      <c r="E200" s="305" t="s">
        <v>4939</v>
      </c>
      <c r="F200" s="195" t="s">
        <v>2780</v>
      </c>
      <c r="G200" s="193" t="s">
        <v>2781</v>
      </c>
      <c r="H200" s="193" t="s">
        <v>2782</v>
      </c>
      <c r="I200" s="193" t="s">
        <v>2783</v>
      </c>
      <c r="J200" s="259" t="s">
        <v>2784</v>
      </c>
      <c r="K200" s="196" t="s">
        <v>2785</v>
      </c>
      <c r="L200" s="259" t="s">
        <v>869</v>
      </c>
      <c r="M200" s="193" t="s">
        <v>4448</v>
      </c>
    </row>
    <row r="201" spans="1:13" ht="42.75">
      <c r="A201" s="193" t="str">
        <f t="shared" si="3"/>
        <v>Smelter Reference List</v>
      </c>
      <c r="B201" s="193" t="s">
        <v>2779</v>
      </c>
      <c r="D201" s="193" t="s">
        <v>1755</v>
      </c>
      <c r="E201" s="125"/>
      <c r="F201" s="195" t="s">
        <v>2352</v>
      </c>
      <c r="G201" s="193" t="s">
        <v>1119</v>
      </c>
      <c r="H201" s="193" t="s">
        <v>696</v>
      </c>
      <c r="I201" s="193" t="s">
        <v>361</v>
      </c>
      <c r="J201" s="259" t="s">
        <v>2349</v>
      </c>
      <c r="K201" s="196" t="s">
        <v>2013</v>
      </c>
      <c r="L201" s="259" t="s">
        <v>1167</v>
      </c>
      <c r="M201" s="193" t="s">
        <v>4449</v>
      </c>
    </row>
    <row r="202" spans="1:13" ht="42.75">
      <c r="A202" s="193" t="str">
        <f t="shared" si="3"/>
        <v>Smelter Reference ListC4</v>
      </c>
      <c r="B202" s="193" t="s">
        <v>2779</v>
      </c>
      <c r="C202" s="193" t="s">
        <v>1835</v>
      </c>
      <c r="D202" s="193" t="s">
        <v>1754</v>
      </c>
      <c r="E202" s="305" t="s">
        <v>4940</v>
      </c>
      <c r="F202" s="195" t="s">
        <v>2351</v>
      </c>
      <c r="G202" s="193" t="s">
        <v>1118</v>
      </c>
      <c r="H202" s="193" t="s">
        <v>695</v>
      </c>
      <c r="I202" s="193" t="s">
        <v>360</v>
      </c>
      <c r="J202" s="259" t="s">
        <v>2348</v>
      </c>
      <c r="K202" s="196" t="s">
        <v>407</v>
      </c>
      <c r="L202" s="259" t="s">
        <v>870</v>
      </c>
      <c r="M202" s="193" t="s">
        <v>4450</v>
      </c>
    </row>
    <row r="203" spans="1:13" ht="42.75">
      <c r="A203" s="193" t="str">
        <f t="shared" si="3"/>
        <v>Smelter Reference ListD4</v>
      </c>
      <c r="B203" s="193" t="s">
        <v>2779</v>
      </c>
      <c r="C203" s="193" t="s">
        <v>2500</v>
      </c>
      <c r="D203" s="193" t="s">
        <v>1753</v>
      </c>
      <c r="E203" s="125"/>
      <c r="F203" s="195" t="s">
        <v>1800</v>
      </c>
      <c r="G203" s="193" t="s">
        <v>1801</v>
      </c>
      <c r="H203" s="193" t="s">
        <v>697</v>
      </c>
      <c r="I203" s="193" t="s">
        <v>362</v>
      </c>
      <c r="J203" s="259" t="s">
        <v>2297</v>
      </c>
      <c r="K203" s="196" t="s">
        <v>408</v>
      </c>
      <c r="L203" s="259" t="s">
        <v>1166</v>
      </c>
      <c r="M203" s="193" t="s">
        <v>4451</v>
      </c>
    </row>
    <row r="204" spans="1:13" ht="42.75">
      <c r="A204" s="193" t="str">
        <f t="shared" si="3"/>
        <v>Smelter Reference List</v>
      </c>
      <c r="B204" s="193" t="s">
        <v>2779</v>
      </c>
      <c r="D204" s="193" t="s">
        <v>1210</v>
      </c>
      <c r="E204" s="306" t="s">
        <v>4941</v>
      </c>
      <c r="F204" s="195" t="s">
        <v>626</v>
      </c>
      <c r="G204" s="193" t="s">
        <v>1019</v>
      </c>
      <c r="H204" s="193" t="s">
        <v>183</v>
      </c>
      <c r="I204" s="193" t="s">
        <v>358</v>
      </c>
      <c r="J204" s="259" t="s">
        <v>2584</v>
      </c>
      <c r="K204" s="196" t="s">
        <v>405</v>
      </c>
      <c r="L204" s="259" t="s">
        <v>79</v>
      </c>
      <c r="M204" s="193" t="s">
        <v>4452</v>
      </c>
    </row>
    <row r="205" spans="1:13" ht="42.75">
      <c r="A205" s="193" t="str">
        <f t="shared" si="3"/>
        <v>Smelter Reference ListE4</v>
      </c>
      <c r="B205" s="193" t="s">
        <v>2779</v>
      </c>
      <c r="C205" s="193" t="s">
        <v>2501</v>
      </c>
      <c r="D205" s="193" t="s">
        <v>1211</v>
      </c>
      <c r="E205" s="195" t="s">
        <v>765</v>
      </c>
      <c r="F205" s="195" t="s">
        <v>627</v>
      </c>
      <c r="G205" s="193" t="s">
        <v>1020</v>
      </c>
      <c r="H205" s="193" t="s">
        <v>184</v>
      </c>
      <c r="I205" s="193" t="s">
        <v>359</v>
      </c>
      <c r="J205" s="259" t="s">
        <v>2585</v>
      </c>
      <c r="K205" s="196" t="s">
        <v>406</v>
      </c>
      <c r="L205" s="259" t="s">
        <v>80</v>
      </c>
      <c r="M205" s="193" t="s">
        <v>4453</v>
      </c>
    </row>
    <row r="206" spans="1:13" ht="42.75">
      <c r="A206" s="193" t="str">
        <f t="shared" si="3"/>
        <v>Smelter Reference ListF4</v>
      </c>
      <c r="B206" s="193" t="s">
        <v>2779</v>
      </c>
      <c r="C206" s="193" t="s">
        <v>2511</v>
      </c>
      <c r="D206" s="193" t="s">
        <v>882</v>
      </c>
      <c r="E206" s="195" t="s">
        <v>462</v>
      </c>
      <c r="F206" s="195" t="s">
        <v>621</v>
      </c>
      <c r="G206" s="193" t="s">
        <v>1015</v>
      </c>
      <c r="H206" s="193" t="s">
        <v>702</v>
      </c>
      <c r="I206" s="193" t="s">
        <v>377</v>
      </c>
      <c r="J206" s="259" t="s">
        <v>2588</v>
      </c>
      <c r="K206" s="196" t="s">
        <v>164</v>
      </c>
      <c r="L206" s="259" t="s">
        <v>94</v>
      </c>
      <c r="M206" s="193" t="s">
        <v>4454</v>
      </c>
    </row>
    <row r="207" spans="1:13" ht="42.75">
      <c r="A207" s="193" t="str">
        <f t="shared" si="3"/>
        <v>Smelter Reference ListG4</v>
      </c>
      <c r="B207" s="193" t="s">
        <v>2779</v>
      </c>
      <c r="C207" s="193" t="s">
        <v>2502</v>
      </c>
      <c r="D207" s="193" t="s">
        <v>885</v>
      </c>
      <c r="E207" s="195" t="s">
        <v>2298</v>
      </c>
      <c r="F207" s="195" t="s">
        <v>613</v>
      </c>
      <c r="G207" s="193" t="s">
        <v>1007</v>
      </c>
      <c r="H207" s="193" t="s">
        <v>2299</v>
      </c>
      <c r="I207" s="193" t="s">
        <v>366</v>
      </c>
      <c r="J207" s="259" t="s">
        <v>1915</v>
      </c>
      <c r="K207" s="196" t="s">
        <v>411</v>
      </c>
      <c r="L207" s="274" t="s">
        <v>266</v>
      </c>
      <c r="M207" s="193" t="s">
        <v>4455</v>
      </c>
    </row>
    <row r="208" spans="1:13" ht="42.75">
      <c r="A208" s="193" t="str">
        <f t="shared" si="3"/>
        <v>Smelter Reference ListH4</v>
      </c>
      <c r="B208" s="193" t="s">
        <v>2779</v>
      </c>
      <c r="C208" s="193" t="s">
        <v>2503</v>
      </c>
      <c r="D208" s="193" t="s">
        <v>886</v>
      </c>
      <c r="E208" s="195" t="s">
        <v>2300</v>
      </c>
      <c r="F208" s="195" t="s">
        <v>614</v>
      </c>
      <c r="G208" s="193" t="s">
        <v>1008</v>
      </c>
      <c r="H208" s="193" t="s">
        <v>2301</v>
      </c>
      <c r="I208" s="193" t="s">
        <v>367</v>
      </c>
      <c r="J208" s="259" t="s">
        <v>1916</v>
      </c>
      <c r="K208" s="196" t="s">
        <v>412</v>
      </c>
      <c r="L208" s="274" t="s">
        <v>267</v>
      </c>
      <c r="M208" s="193" t="s">
        <v>4456</v>
      </c>
    </row>
    <row r="209" spans="1:13" ht="42.75">
      <c r="A209" s="193" t="str">
        <f t="shared" si="3"/>
        <v>Smelter Reference ListI4</v>
      </c>
      <c r="B209" s="193" t="s">
        <v>2779</v>
      </c>
      <c r="C209" s="193" t="s">
        <v>2504</v>
      </c>
      <c r="D209" s="193" t="s">
        <v>1752</v>
      </c>
      <c r="E209" s="195" t="s">
        <v>2302</v>
      </c>
      <c r="F209" s="195" t="s">
        <v>2303</v>
      </c>
      <c r="G209" s="193" t="s">
        <v>2304</v>
      </c>
      <c r="H209" s="193" t="s">
        <v>2305</v>
      </c>
      <c r="I209" s="193" t="s">
        <v>368</v>
      </c>
      <c r="J209" s="259" t="s">
        <v>1917</v>
      </c>
      <c r="K209" s="196" t="s">
        <v>158</v>
      </c>
      <c r="L209" s="274" t="s">
        <v>1165</v>
      </c>
      <c r="M209" s="193" t="s">
        <v>4457</v>
      </c>
    </row>
    <row r="210" spans="1:13" ht="28.5">
      <c r="A210" s="193" t="s">
        <v>4698</v>
      </c>
      <c r="B210" s="193" t="s">
        <v>2430</v>
      </c>
      <c r="C210" s="193" t="s">
        <v>1188</v>
      </c>
      <c r="D210" s="193" t="s">
        <v>4815</v>
      </c>
      <c r="E210" s="193" t="s">
        <v>4820</v>
      </c>
      <c r="F210" s="195" t="s">
        <v>4826</v>
      </c>
      <c r="G210" s="193" t="s">
        <v>4832</v>
      </c>
      <c r="H210" s="193" t="s">
        <v>4838</v>
      </c>
      <c r="I210" s="193" t="s">
        <v>4844</v>
      </c>
      <c r="J210" s="259" t="s">
        <v>4850</v>
      </c>
      <c r="K210" s="196" t="s">
        <v>4856</v>
      </c>
      <c r="L210" s="274" t="s">
        <v>4862</v>
      </c>
      <c r="M210" s="193" t="s">
        <v>4868</v>
      </c>
    </row>
    <row r="211" spans="1:13" ht="28.5">
      <c r="A211" s="193" t="str">
        <f t="shared" si="3"/>
        <v>Smelter ListB4</v>
      </c>
      <c r="B211" s="193" t="s">
        <v>2430</v>
      </c>
      <c r="C211" s="193" t="s">
        <v>1814</v>
      </c>
      <c r="D211" s="193" t="s">
        <v>1474</v>
      </c>
      <c r="E211" s="195" t="s">
        <v>2740</v>
      </c>
      <c r="F211" s="195" t="s">
        <v>1506</v>
      </c>
      <c r="G211" s="193" t="s">
        <v>1992</v>
      </c>
      <c r="H211" s="193" t="s">
        <v>2499</v>
      </c>
      <c r="I211" s="193" t="s">
        <v>2295</v>
      </c>
      <c r="J211" s="259" t="s">
        <v>2294</v>
      </c>
      <c r="K211" s="196" t="s">
        <v>2295</v>
      </c>
      <c r="L211" s="259" t="s">
        <v>864</v>
      </c>
      <c r="M211" s="193" t="s">
        <v>4458</v>
      </c>
    </row>
    <row r="212" spans="1:13" ht="28.5">
      <c r="A212" s="193" t="str">
        <f t="shared" si="3"/>
        <v>Smelter ListC4</v>
      </c>
      <c r="B212" s="193" t="s">
        <v>2430</v>
      </c>
      <c r="C212" s="193" t="s">
        <v>1835</v>
      </c>
      <c r="D212" s="193" t="s">
        <v>2014</v>
      </c>
      <c r="E212" s="195" t="s">
        <v>2741</v>
      </c>
      <c r="F212" s="195" t="s">
        <v>2015</v>
      </c>
      <c r="G212" s="193" t="s">
        <v>2016</v>
      </c>
      <c r="H212" s="193" t="s">
        <v>2017</v>
      </c>
      <c r="I212" s="193" t="s">
        <v>363</v>
      </c>
      <c r="J212" s="259" t="s">
        <v>2018</v>
      </c>
      <c r="K212" s="196" t="s">
        <v>2019</v>
      </c>
      <c r="L212" s="259" t="s">
        <v>869</v>
      </c>
      <c r="M212" s="193" t="s">
        <v>4459</v>
      </c>
    </row>
    <row r="213" spans="1:13" ht="28.5">
      <c r="A213" s="193" t="str">
        <f t="shared" si="3"/>
        <v>Smelter ListD4</v>
      </c>
      <c r="B213" s="193" t="s">
        <v>2430</v>
      </c>
      <c r="C213" s="193" t="s">
        <v>2500</v>
      </c>
      <c r="D213" s="193" t="s">
        <v>883</v>
      </c>
      <c r="E213" s="195" t="s">
        <v>2742</v>
      </c>
      <c r="F213" s="195" t="s">
        <v>611</v>
      </c>
      <c r="G213" s="193" t="s">
        <v>1005</v>
      </c>
      <c r="H213" s="193" t="s">
        <v>698</v>
      </c>
      <c r="I213" s="193" t="s">
        <v>364</v>
      </c>
      <c r="J213" s="259" t="s">
        <v>1913</v>
      </c>
      <c r="K213" s="196" t="s">
        <v>409</v>
      </c>
      <c r="L213" s="259" t="s">
        <v>264</v>
      </c>
      <c r="M213" s="193" t="s">
        <v>4460</v>
      </c>
    </row>
    <row r="214" spans="1:13" ht="17.25">
      <c r="A214" s="193" t="str">
        <f t="shared" si="3"/>
        <v>Smelter ListE4</v>
      </c>
      <c r="B214" s="193" t="s">
        <v>2430</v>
      </c>
      <c r="C214" s="193" t="s">
        <v>2501</v>
      </c>
      <c r="D214" s="193" t="s">
        <v>884</v>
      </c>
      <c r="E214" s="195" t="s">
        <v>2743</v>
      </c>
      <c r="F214" s="195" t="s">
        <v>612</v>
      </c>
      <c r="G214" s="193" t="s">
        <v>1006</v>
      </c>
      <c r="H214" s="193" t="s">
        <v>2296</v>
      </c>
      <c r="I214" s="193" t="s">
        <v>365</v>
      </c>
      <c r="J214" s="259" t="s">
        <v>1914</v>
      </c>
      <c r="K214" s="196" t="s">
        <v>410</v>
      </c>
      <c r="L214" s="259" t="s">
        <v>265</v>
      </c>
      <c r="M214" s="193" t="s">
        <v>4461</v>
      </c>
    </row>
    <row r="215" spans="1:13" ht="28.5">
      <c r="A215" s="193" t="str">
        <f t="shared" si="3"/>
        <v>Smelter ListH4</v>
      </c>
      <c r="B215" s="193" t="s">
        <v>2430</v>
      </c>
      <c r="C215" s="193" t="s">
        <v>2503</v>
      </c>
      <c r="D215" s="193" t="s">
        <v>885</v>
      </c>
      <c r="E215" s="195" t="s">
        <v>2298</v>
      </c>
      <c r="F215" s="195" t="s">
        <v>613</v>
      </c>
      <c r="G215" s="193" t="s">
        <v>1007</v>
      </c>
      <c r="H215" s="193" t="s">
        <v>2299</v>
      </c>
      <c r="I215" s="193" t="s">
        <v>366</v>
      </c>
      <c r="J215" s="259" t="s">
        <v>1915</v>
      </c>
      <c r="K215" s="196" t="s">
        <v>411</v>
      </c>
      <c r="L215" s="274" t="s">
        <v>266</v>
      </c>
      <c r="M215" s="193" t="s">
        <v>4455</v>
      </c>
    </row>
    <row r="216" spans="1:13">
      <c r="A216" s="193" t="str">
        <f t="shared" si="3"/>
        <v>Smelter ListI4</v>
      </c>
      <c r="B216" s="193" t="s">
        <v>2430</v>
      </c>
      <c r="C216" s="193" t="s">
        <v>2504</v>
      </c>
      <c r="D216" s="193" t="s">
        <v>886</v>
      </c>
      <c r="E216" s="195" t="s">
        <v>2300</v>
      </c>
      <c r="F216" s="195" t="s">
        <v>614</v>
      </c>
      <c r="G216" s="193" t="s">
        <v>1008</v>
      </c>
      <c r="H216" s="193" t="s">
        <v>2301</v>
      </c>
      <c r="I216" s="193" t="s">
        <v>367</v>
      </c>
      <c r="J216" s="259" t="s">
        <v>1916</v>
      </c>
      <c r="K216" s="196" t="s">
        <v>412</v>
      </c>
      <c r="L216" s="274" t="s">
        <v>267</v>
      </c>
      <c r="M216" s="193" t="s">
        <v>4456</v>
      </c>
    </row>
    <row r="217" spans="1:13" ht="28.5">
      <c r="A217" s="193" t="str">
        <f t="shared" si="3"/>
        <v>Smelter ListJ4</v>
      </c>
      <c r="B217" s="193" t="s">
        <v>2430</v>
      </c>
      <c r="C217" s="193" t="s">
        <v>2505</v>
      </c>
      <c r="D217" s="193" t="s">
        <v>1752</v>
      </c>
      <c r="E217" s="195" t="s">
        <v>2302</v>
      </c>
      <c r="F217" s="195" t="s">
        <v>2303</v>
      </c>
      <c r="G217" s="193" t="s">
        <v>2304</v>
      </c>
      <c r="H217" s="193" t="s">
        <v>2305</v>
      </c>
      <c r="I217" s="193" t="s">
        <v>368</v>
      </c>
      <c r="J217" s="259" t="s">
        <v>1917</v>
      </c>
      <c r="K217" s="196" t="s">
        <v>158</v>
      </c>
      <c r="L217" s="274" t="s">
        <v>1165</v>
      </c>
      <c r="M217" s="193" t="s">
        <v>4457</v>
      </c>
    </row>
    <row r="218" spans="1:13" ht="28.5">
      <c r="A218" s="193" t="str">
        <f t="shared" si="3"/>
        <v>Smelter ListK4</v>
      </c>
      <c r="B218" s="193" t="s">
        <v>2430</v>
      </c>
      <c r="C218" s="193" t="s">
        <v>2506</v>
      </c>
      <c r="D218" s="193" t="s">
        <v>887</v>
      </c>
      <c r="E218" s="195" t="s">
        <v>766</v>
      </c>
      <c r="F218" s="195" t="s">
        <v>615</v>
      </c>
      <c r="G218" s="193" t="s">
        <v>1009</v>
      </c>
      <c r="H218" s="193" t="s">
        <v>2306</v>
      </c>
      <c r="I218" s="193" t="s">
        <v>369</v>
      </c>
      <c r="J218" s="259" t="s">
        <v>1918</v>
      </c>
      <c r="K218" s="196" t="s">
        <v>2307</v>
      </c>
      <c r="L218" s="274" t="s">
        <v>865</v>
      </c>
      <c r="M218" s="193" t="s">
        <v>4462</v>
      </c>
    </row>
    <row r="219" spans="1:13" ht="28.5">
      <c r="A219" s="193" t="str">
        <f t="shared" si="3"/>
        <v>Smelter ListL4</v>
      </c>
      <c r="B219" s="193" t="s">
        <v>2430</v>
      </c>
      <c r="C219" s="193" t="s">
        <v>2507</v>
      </c>
      <c r="D219" s="193" t="s">
        <v>888</v>
      </c>
      <c r="E219" s="195" t="s">
        <v>767</v>
      </c>
      <c r="F219" s="195" t="s">
        <v>616</v>
      </c>
      <c r="G219" s="193" t="s">
        <v>1010</v>
      </c>
      <c r="H219" s="193" t="s">
        <v>2308</v>
      </c>
      <c r="I219" s="193" t="s">
        <v>370</v>
      </c>
      <c r="J219" s="259" t="s">
        <v>29</v>
      </c>
      <c r="K219" s="196" t="s">
        <v>2309</v>
      </c>
      <c r="L219" s="259" t="s">
        <v>866</v>
      </c>
      <c r="M219" s="193" t="s">
        <v>4463</v>
      </c>
    </row>
    <row r="220" spans="1:13" ht="28.5">
      <c r="A220" s="193" t="str">
        <f t="shared" si="3"/>
        <v>Smelter ListM4</v>
      </c>
      <c r="B220" s="193" t="s">
        <v>2430</v>
      </c>
      <c r="C220" s="193" t="s">
        <v>2508</v>
      </c>
      <c r="D220" s="193" t="s">
        <v>889</v>
      </c>
      <c r="E220" s="195" t="s">
        <v>768</v>
      </c>
      <c r="F220" s="195" t="s">
        <v>617</v>
      </c>
      <c r="G220" s="193" t="s">
        <v>1011</v>
      </c>
      <c r="H220" s="193" t="s">
        <v>2310</v>
      </c>
      <c r="I220" s="193" t="s">
        <v>371</v>
      </c>
      <c r="J220" s="259" t="s">
        <v>30</v>
      </c>
      <c r="K220" s="196" t="s">
        <v>159</v>
      </c>
      <c r="L220" s="259" t="s">
        <v>268</v>
      </c>
      <c r="M220" s="193" t="s">
        <v>4464</v>
      </c>
    </row>
    <row r="221" spans="1:13" ht="57">
      <c r="A221" s="193" t="str">
        <f t="shared" si="3"/>
        <v>Smelter ListN4</v>
      </c>
      <c r="B221" s="193" t="s">
        <v>2430</v>
      </c>
      <c r="C221" s="193" t="s">
        <v>2509</v>
      </c>
      <c r="D221" s="193" t="s">
        <v>924</v>
      </c>
      <c r="E221" s="195" t="s">
        <v>769</v>
      </c>
      <c r="F221" s="195" t="s">
        <v>618</v>
      </c>
      <c r="G221" s="193" t="s">
        <v>1012</v>
      </c>
      <c r="H221" s="195" t="s">
        <v>699</v>
      </c>
      <c r="I221" s="193" t="s">
        <v>372</v>
      </c>
      <c r="J221" s="259" t="s">
        <v>2586</v>
      </c>
      <c r="K221" s="196" t="s">
        <v>160</v>
      </c>
      <c r="L221" s="259" t="s">
        <v>269</v>
      </c>
      <c r="M221" s="193" t="s">
        <v>4465</v>
      </c>
    </row>
    <row r="222" spans="1:13" ht="71.25">
      <c r="A222" s="193" t="str">
        <f t="shared" si="3"/>
        <v>Smelter ListO4</v>
      </c>
      <c r="B222" s="193" t="s">
        <v>2430</v>
      </c>
      <c r="C222" s="193" t="s">
        <v>2510</v>
      </c>
      <c r="D222" s="193" t="s">
        <v>1856</v>
      </c>
      <c r="E222" s="195" t="s">
        <v>770</v>
      </c>
      <c r="F222" s="195" t="s">
        <v>619</v>
      </c>
      <c r="G222" s="193" t="s">
        <v>1013</v>
      </c>
      <c r="H222" s="193" t="s">
        <v>700</v>
      </c>
      <c r="I222" s="193" t="s">
        <v>373</v>
      </c>
      <c r="J222" s="259" t="s">
        <v>2609</v>
      </c>
      <c r="K222" s="196" t="s">
        <v>161</v>
      </c>
      <c r="L222" s="259" t="s">
        <v>270</v>
      </c>
      <c r="M222" s="193" t="s">
        <v>4466</v>
      </c>
    </row>
    <row r="223" spans="1:13" ht="71.25">
      <c r="A223" s="193" t="str">
        <f t="shared" si="3"/>
        <v>Smelter ListP4</v>
      </c>
      <c r="B223" s="193" t="s">
        <v>2430</v>
      </c>
      <c r="C223" s="193" t="s">
        <v>913</v>
      </c>
      <c r="D223" s="193" t="s">
        <v>923</v>
      </c>
      <c r="E223" s="195" t="s">
        <v>771</v>
      </c>
      <c r="F223" s="195" t="s">
        <v>620</v>
      </c>
      <c r="G223" s="193" t="s">
        <v>1014</v>
      </c>
      <c r="H223" s="266" t="s">
        <v>701</v>
      </c>
      <c r="I223" s="193" t="s">
        <v>374</v>
      </c>
      <c r="J223" s="259" t="s">
        <v>2587</v>
      </c>
      <c r="K223" s="196" t="s">
        <v>162</v>
      </c>
      <c r="L223" s="259" t="s">
        <v>271</v>
      </c>
      <c r="M223" s="193" t="s">
        <v>4467</v>
      </c>
    </row>
    <row r="224" spans="1:13" ht="28.5">
      <c r="A224" s="193" t="str">
        <f t="shared" si="3"/>
        <v>Smelter ListQ4</v>
      </c>
      <c r="B224" s="193" t="s">
        <v>2430</v>
      </c>
      <c r="C224" s="193" t="s">
        <v>922</v>
      </c>
      <c r="D224" s="193" t="s">
        <v>1471</v>
      </c>
      <c r="E224" s="195" t="s">
        <v>471</v>
      </c>
      <c r="F224" s="195" t="s">
        <v>2000</v>
      </c>
      <c r="G224" s="193" t="s">
        <v>1779</v>
      </c>
      <c r="H224" s="193" t="s">
        <v>1780</v>
      </c>
      <c r="I224" s="193" t="s">
        <v>1781</v>
      </c>
      <c r="J224" s="259" t="s">
        <v>1912</v>
      </c>
      <c r="K224" s="196" t="s">
        <v>1782</v>
      </c>
      <c r="L224" s="259" t="s">
        <v>862</v>
      </c>
      <c r="M224" s="193" t="s">
        <v>4432</v>
      </c>
    </row>
    <row r="225" spans="1:13" ht="42.75">
      <c r="A225" s="193" t="str">
        <f t="shared" si="3"/>
        <v>Smelter ListJ2</v>
      </c>
      <c r="B225" s="193" t="s">
        <v>2430</v>
      </c>
      <c r="C225" s="193" t="s">
        <v>1453</v>
      </c>
      <c r="D225" s="193" t="s">
        <v>178</v>
      </c>
      <c r="E225" s="195" t="s">
        <v>772</v>
      </c>
      <c r="F225" s="195" t="s">
        <v>2311</v>
      </c>
      <c r="G225" s="193" t="s">
        <v>474</v>
      </c>
      <c r="H225" s="193" t="s">
        <v>179</v>
      </c>
      <c r="I225" s="193" t="s">
        <v>375</v>
      </c>
      <c r="J225" s="259" t="s">
        <v>1919</v>
      </c>
      <c r="K225" s="196" t="s">
        <v>180</v>
      </c>
      <c r="L225" s="259" t="s">
        <v>867</v>
      </c>
      <c r="M225" s="193" t="s">
        <v>4468</v>
      </c>
    </row>
    <row r="226" spans="1:13" s="220" customFormat="1" ht="28.5">
      <c r="A226" s="193" t="str">
        <f t="shared" si="3"/>
        <v>Smelter ListB2</v>
      </c>
      <c r="B226" s="193" t="s">
        <v>2430</v>
      </c>
      <c r="C226" s="193" t="s">
        <v>1862</v>
      </c>
      <c r="D226" s="275" t="s">
        <v>4812</v>
      </c>
      <c r="E226" s="193" t="s">
        <v>4821</v>
      </c>
      <c r="F226" s="193" t="s">
        <v>4827</v>
      </c>
      <c r="G226" s="193" t="s">
        <v>4833</v>
      </c>
      <c r="H226" s="193" t="s">
        <v>4839</v>
      </c>
      <c r="I226" s="193" t="s">
        <v>4845</v>
      </c>
      <c r="J226" s="193" t="s">
        <v>4851</v>
      </c>
      <c r="K226" s="193" t="s">
        <v>4857</v>
      </c>
      <c r="L226" s="193" t="s">
        <v>4863</v>
      </c>
      <c r="M226" s="247" t="s">
        <v>4869</v>
      </c>
    </row>
    <row r="227" spans="1:13" s="220" customFormat="1" ht="409.5">
      <c r="A227" s="193" t="str">
        <f>B227&amp;C227</f>
        <v>Smelter ListB3</v>
      </c>
      <c r="B227" s="193" t="s">
        <v>2430</v>
      </c>
      <c r="C227" s="193" t="s">
        <v>1813</v>
      </c>
      <c r="D227" s="275" t="s">
        <v>4814</v>
      </c>
      <c r="E227" s="193" t="s">
        <v>4822</v>
      </c>
      <c r="F227" s="193" t="s">
        <v>4828</v>
      </c>
      <c r="G227" s="193" t="s">
        <v>4834</v>
      </c>
      <c r="H227" s="193" t="s">
        <v>4840</v>
      </c>
      <c r="I227" s="193" t="s">
        <v>4846</v>
      </c>
      <c r="J227" s="193" t="s">
        <v>4852</v>
      </c>
      <c r="K227" s="193" t="s">
        <v>4858</v>
      </c>
      <c r="L227" s="193" t="s">
        <v>4864</v>
      </c>
      <c r="M227" s="247" t="s">
        <v>4870</v>
      </c>
    </row>
    <row r="228" spans="1:13">
      <c r="A228" s="193" t="str">
        <f t="shared" si="3"/>
        <v>Smelter ListF4</v>
      </c>
      <c r="B228" s="193" t="s">
        <v>2430</v>
      </c>
      <c r="C228" s="193" t="s">
        <v>2511</v>
      </c>
      <c r="D228" s="193" t="s">
        <v>881</v>
      </c>
      <c r="E228" s="195" t="s">
        <v>461</v>
      </c>
      <c r="F228" s="195" t="s">
        <v>2350</v>
      </c>
      <c r="G228" s="193" t="s">
        <v>1117</v>
      </c>
      <c r="H228" s="193" t="s">
        <v>694</v>
      </c>
      <c r="I228" s="193" t="s">
        <v>376</v>
      </c>
      <c r="J228" s="259" t="s">
        <v>2347</v>
      </c>
      <c r="K228" s="196" t="s">
        <v>163</v>
      </c>
      <c r="L228" s="259" t="s">
        <v>93</v>
      </c>
      <c r="M228" s="193" t="s">
        <v>4469</v>
      </c>
    </row>
    <row r="229" spans="1:13" ht="28.5">
      <c r="A229" s="193" t="str">
        <f t="shared" si="3"/>
        <v>Smelter ListG4</v>
      </c>
      <c r="B229" s="193" t="s">
        <v>2430</v>
      </c>
      <c r="C229" s="193" t="s">
        <v>2502</v>
      </c>
      <c r="D229" s="193" t="s">
        <v>882</v>
      </c>
      <c r="E229" s="195" t="s">
        <v>462</v>
      </c>
      <c r="F229" s="195" t="s">
        <v>621</v>
      </c>
      <c r="G229" s="193" t="s">
        <v>1015</v>
      </c>
      <c r="H229" s="193" t="s">
        <v>702</v>
      </c>
      <c r="I229" s="193" t="s">
        <v>377</v>
      </c>
      <c r="J229" s="259" t="s">
        <v>2588</v>
      </c>
      <c r="K229" s="196" t="s">
        <v>164</v>
      </c>
      <c r="L229" s="259" t="s">
        <v>94</v>
      </c>
      <c r="M229" s="193" t="s">
        <v>4454</v>
      </c>
    </row>
    <row r="230" spans="1:13" ht="71.25">
      <c r="A230" s="193" t="str">
        <f t="shared" si="3"/>
        <v>CheckerA1</v>
      </c>
      <c r="B230" s="193" t="s">
        <v>2431</v>
      </c>
      <c r="C230" s="193" t="s">
        <v>1185</v>
      </c>
      <c r="D230" s="193" t="s">
        <v>1749</v>
      </c>
      <c r="E230" s="195" t="s">
        <v>463</v>
      </c>
      <c r="F230" s="195" t="s">
        <v>622</v>
      </c>
      <c r="G230" s="193" t="s">
        <v>2312</v>
      </c>
      <c r="H230" s="193" t="s">
        <v>703</v>
      </c>
      <c r="I230" s="193" t="s">
        <v>378</v>
      </c>
      <c r="J230" s="259" t="s">
        <v>2610</v>
      </c>
      <c r="K230" s="196" t="s">
        <v>2313</v>
      </c>
      <c r="L230" s="259" t="s">
        <v>2533</v>
      </c>
      <c r="M230" s="193" t="s">
        <v>4470</v>
      </c>
    </row>
    <row r="231" spans="1:13" ht="28.5">
      <c r="A231" s="193" t="str">
        <f t="shared" si="3"/>
        <v>CheckerD1</v>
      </c>
      <c r="B231" s="193" t="s">
        <v>2431</v>
      </c>
      <c r="C231" s="193" t="s">
        <v>2512</v>
      </c>
      <c r="D231" s="193" t="s">
        <v>1751</v>
      </c>
      <c r="E231" s="195" t="s">
        <v>464</v>
      </c>
      <c r="F231" s="195" t="s">
        <v>2314</v>
      </c>
      <c r="G231" s="193" t="s">
        <v>2315</v>
      </c>
      <c r="H231" s="193" t="s">
        <v>2316</v>
      </c>
      <c r="I231" s="193" t="s">
        <v>379</v>
      </c>
      <c r="J231" s="266" t="s">
        <v>2611</v>
      </c>
      <c r="K231" s="196" t="s">
        <v>2317</v>
      </c>
      <c r="L231" s="276" t="s">
        <v>2534</v>
      </c>
      <c r="M231" s="193" t="s">
        <v>4471</v>
      </c>
    </row>
    <row r="232" spans="1:13">
      <c r="A232" s="193" t="str">
        <f t="shared" si="3"/>
        <v>CheckerA3</v>
      </c>
      <c r="B232" s="193" t="s">
        <v>2431</v>
      </c>
      <c r="C232" s="193" t="s">
        <v>1187</v>
      </c>
      <c r="D232" s="193" t="s">
        <v>1526</v>
      </c>
      <c r="E232" s="195" t="s">
        <v>465</v>
      </c>
      <c r="F232" s="195" t="s">
        <v>2318</v>
      </c>
      <c r="G232" s="193" t="s">
        <v>2319</v>
      </c>
      <c r="H232" s="193" t="s">
        <v>2320</v>
      </c>
      <c r="I232" s="193" t="s">
        <v>2321</v>
      </c>
      <c r="J232" s="266" t="s">
        <v>2322</v>
      </c>
      <c r="K232" s="196" t="s">
        <v>2323</v>
      </c>
      <c r="L232" s="276" t="s">
        <v>2535</v>
      </c>
      <c r="M232" s="193" t="s">
        <v>4472</v>
      </c>
    </row>
    <row r="233" spans="1:13">
      <c r="A233" s="193" t="str">
        <f t="shared" si="3"/>
        <v>CheckerB3</v>
      </c>
      <c r="B233" s="193" t="s">
        <v>2431</v>
      </c>
      <c r="C233" s="193" t="s">
        <v>1813</v>
      </c>
      <c r="D233" s="193" t="s">
        <v>1527</v>
      </c>
      <c r="E233" s="195" t="s">
        <v>466</v>
      </c>
      <c r="F233" s="195" t="s">
        <v>1504</v>
      </c>
      <c r="G233" s="193" t="s">
        <v>2324</v>
      </c>
      <c r="H233" s="193" t="s">
        <v>2325</v>
      </c>
      <c r="I233" s="193" t="s">
        <v>2326</v>
      </c>
      <c r="J233" s="266" t="s">
        <v>2327</v>
      </c>
      <c r="K233" s="196" t="s">
        <v>2328</v>
      </c>
      <c r="L233" s="276" t="s">
        <v>2536</v>
      </c>
      <c r="M233" s="193" t="s">
        <v>4473</v>
      </c>
    </row>
    <row r="234" spans="1:13">
      <c r="A234" s="193" t="str">
        <f t="shared" si="3"/>
        <v>CheckerC3</v>
      </c>
      <c r="B234" s="193" t="s">
        <v>2431</v>
      </c>
      <c r="C234" s="193" t="s">
        <v>1834</v>
      </c>
      <c r="D234" s="193" t="s">
        <v>1747</v>
      </c>
      <c r="E234" s="195" t="s">
        <v>467</v>
      </c>
      <c r="F234" s="195" t="s">
        <v>2329</v>
      </c>
      <c r="G234" s="193" t="s">
        <v>2330</v>
      </c>
      <c r="H234" s="193" t="s">
        <v>2331</v>
      </c>
      <c r="I234" s="193" t="s">
        <v>2332</v>
      </c>
      <c r="J234" s="266" t="s">
        <v>2333</v>
      </c>
      <c r="K234" s="196" t="s">
        <v>2332</v>
      </c>
      <c r="L234" s="276" t="s">
        <v>2537</v>
      </c>
      <c r="M234" s="193" t="s">
        <v>4474</v>
      </c>
    </row>
    <row r="235" spans="1:13">
      <c r="A235" s="193" t="str">
        <f t="shared" si="3"/>
        <v>CheckerD3</v>
      </c>
      <c r="B235" s="193" t="s">
        <v>2431</v>
      </c>
      <c r="C235" s="193" t="s">
        <v>2513</v>
      </c>
      <c r="D235" s="193" t="s">
        <v>1748</v>
      </c>
      <c r="E235" s="195" t="s">
        <v>468</v>
      </c>
      <c r="F235" s="195" t="s">
        <v>1431</v>
      </c>
      <c r="G235" s="193" t="s">
        <v>1432</v>
      </c>
      <c r="H235" s="193" t="s">
        <v>1433</v>
      </c>
      <c r="I235" s="193" t="s">
        <v>380</v>
      </c>
      <c r="J235" s="266" t="s">
        <v>1443</v>
      </c>
      <c r="K235" s="196" t="s">
        <v>1434</v>
      </c>
      <c r="L235" s="276" t="s">
        <v>1435</v>
      </c>
      <c r="M235" s="193" t="s">
        <v>4475</v>
      </c>
    </row>
    <row r="236" spans="1:13" s="220" customFormat="1" ht="32.25" customHeight="1">
      <c r="A236" s="193" t="s">
        <v>2859</v>
      </c>
      <c r="B236" s="193" t="s">
        <v>2431</v>
      </c>
      <c r="C236" s="193" t="s">
        <v>2858</v>
      </c>
      <c r="D236" s="193" t="s">
        <v>2860</v>
      </c>
      <c r="E236" s="193" t="s">
        <v>3995</v>
      </c>
      <c r="F236" s="193" t="s">
        <v>3996</v>
      </c>
      <c r="G236" s="193" t="s">
        <v>3997</v>
      </c>
      <c r="H236" s="193" t="s">
        <v>3998</v>
      </c>
      <c r="I236" s="193" t="s">
        <v>3999</v>
      </c>
      <c r="J236" s="193" t="s">
        <v>4000</v>
      </c>
      <c r="K236" s="193" t="s">
        <v>4001</v>
      </c>
      <c r="L236" s="193" t="s">
        <v>4002</v>
      </c>
      <c r="M236" s="193" t="s">
        <v>4476</v>
      </c>
    </row>
    <row r="237" spans="1:13" s="220" customFormat="1" ht="32.25" customHeight="1">
      <c r="A237" s="193" t="str">
        <f t="shared" si="3"/>
        <v>CheckerB63</v>
      </c>
      <c r="B237" s="193" t="s">
        <v>2431</v>
      </c>
      <c r="C237" s="193" t="s">
        <v>3527</v>
      </c>
      <c r="D237" s="193" t="s">
        <v>2860</v>
      </c>
      <c r="E237" s="193" t="s">
        <v>3995</v>
      </c>
      <c r="F237" s="193" t="s">
        <v>3996</v>
      </c>
      <c r="G237" s="193" t="s">
        <v>3997</v>
      </c>
      <c r="H237" s="193" t="s">
        <v>3998</v>
      </c>
      <c r="I237" s="193" t="s">
        <v>3999</v>
      </c>
      <c r="J237" s="193" t="s">
        <v>4000</v>
      </c>
      <c r="K237" s="193" t="s">
        <v>4001</v>
      </c>
      <c r="L237" s="193" t="s">
        <v>4002</v>
      </c>
      <c r="M237" s="193" t="s">
        <v>4476</v>
      </c>
    </row>
    <row r="238" spans="1:13" s="220" customFormat="1" ht="32.25" customHeight="1">
      <c r="A238" s="193" t="str">
        <f t="shared" si="3"/>
        <v>CheckerB64</v>
      </c>
      <c r="B238" s="193" t="s">
        <v>2431</v>
      </c>
      <c r="C238" s="193" t="s">
        <v>3528</v>
      </c>
      <c r="D238" s="193" t="s">
        <v>2860</v>
      </c>
      <c r="E238" s="193" t="s">
        <v>3995</v>
      </c>
      <c r="F238" s="193" t="s">
        <v>3996</v>
      </c>
      <c r="G238" s="193" t="s">
        <v>3997</v>
      </c>
      <c r="H238" s="193" t="s">
        <v>3998</v>
      </c>
      <c r="I238" s="193" t="s">
        <v>3999</v>
      </c>
      <c r="J238" s="193" t="s">
        <v>4000</v>
      </c>
      <c r="K238" s="193" t="s">
        <v>4001</v>
      </c>
      <c r="L238" s="193" t="s">
        <v>4002</v>
      </c>
      <c r="M238" s="193" t="s">
        <v>4476</v>
      </c>
    </row>
    <row r="239" spans="1:13" s="220" customFormat="1" ht="32.25" customHeight="1">
      <c r="A239" s="193" t="str">
        <f t="shared" si="3"/>
        <v>CheckerB65</v>
      </c>
      <c r="B239" s="193" t="s">
        <v>2431</v>
      </c>
      <c r="C239" s="193" t="s">
        <v>3529</v>
      </c>
      <c r="D239" s="193" t="s">
        <v>2860</v>
      </c>
      <c r="E239" s="193" t="s">
        <v>3995</v>
      </c>
      <c r="F239" s="193" t="s">
        <v>3996</v>
      </c>
      <c r="G239" s="193" t="s">
        <v>3997</v>
      </c>
      <c r="H239" s="193" t="s">
        <v>3998</v>
      </c>
      <c r="I239" s="193" t="s">
        <v>3999</v>
      </c>
      <c r="J239" s="193" t="s">
        <v>4000</v>
      </c>
      <c r="K239" s="193" t="s">
        <v>4001</v>
      </c>
      <c r="L239" s="193" t="s">
        <v>4002</v>
      </c>
      <c r="M239" s="193" t="s">
        <v>4476</v>
      </c>
    </row>
    <row r="240" spans="1:13" s="220" customFormat="1" ht="32.25" customHeight="1">
      <c r="A240" s="193" t="s">
        <v>2880</v>
      </c>
      <c r="B240" s="193" t="s">
        <v>2431</v>
      </c>
      <c r="C240" s="193" t="s">
        <v>2879</v>
      </c>
      <c r="D240" s="193" t="s">
        <v>2881</v>
      </c>
      <c r="E240" s="193" t="s">
        <v>3568</v>
      </c>
      <c r="F240" s="193" t="s">
        <v>3569</v>
      </c>
      <c r="G240" s="193" t="s">
        <v>3570</v>
      </c>
      <c r="H240" s="193" t="s">
        <v>3571</v>
      </c>
      <c r="I240" s="193" t="s">
        <v>3572</v>
      </c>
      <c r="J240" s="193" t="s">
        <v>3573</v>
      </c>
      <c r="K240" s="193" t="s">
        <v>2881</v>
      </c>
      <c r="L240" s="193" t="s">
        <v>3574</v>
      </c>
      <c r="M240" s="247" t="s">
        <v>4930</v>
      </c>
    </row>
    <row r="241" spans="1:13" s="220" customFormat="1" ht="42.75">
      <c r="A241" s="193" t="s">
        <v>2861</v>
      </c>
      <c r="B241" s="193" t="s">
        <v>2431</v>
      </c>
      <c r="C241" s="193" t="s">
        <v>2505</v>
      </c>
      <c r="D241" s="193" t="s">
        <v>3034</v>
      </c>
      <c r="E241" s="193" t="s">
        <v>3575</v>
      </c>
      <c r="F241" s="193" t="s">
        <v>3576</v>
      </c>
      <c r="G241" s="193" t="s">
        <v>3577</v>
      </c>
      <c r="H241" s="193" t="s">
        <v>3578</v>
      </c>
      <c r="I241" s="193" t="s">
        <v>3579</v>
      </c>
      <c r="J241" s="193" t="s">
        <v>3580</v>
      </c>
      <c r="K241" s="193" t="s">
        <v>3581</v>
      </c>
      <c r="L241" s="193" t="s">
        <v>3582</v>
      </c>
      <c r="M241" s="193" t="s">
        <v>4477</v>
      </c>
    </row>
    <row r="242" spans="1:13" s="220" customFormat="1" ht="42.75">
      <c r="A242" s="193" t="s">
        <v>2882</v>
      </c>
      <c r="B242" s="193" t="s">
        <v>2431</v>
      </c>
      <c r="C242" s="193" t="s">
        <v>2862</v>
      </c>
      <c r="D242" s="193" t="s">
        <v>3033</v>
      </c>
      <c r="E242" s="193" t="s">
        <v>3583</v>
      </c>
      <c r="F242" s="193" t="s">
        <v>3584</v>
      </c>
      <c r="G242" s="193" t="s">
        <v>3585</v>
      </c>
      <c r="H242" s="193" t="s">
        <v>3586</v>
      </c>
      <c r="I242" s="193" t="s">
        <v>3587</v>
      </c>
      <c r="J242" s="193" t="s">
        <v>3588</v>
      </c>
      <c r="K242" s="193" t="s">
        <v>3589</v>
      </c>
      <c r="L242" s="193" t="s">
        <v>3590</v>
      </c>
      <c r="M242" s="193" t="s">
        <v>4478</v>
      </c>
    </row>
    <row r="243" spans="1:13" s="220" customFormat="1" ht="42.75">
      <c r="A243" s="193" t="s">
        <v>2968</v>
      </c>
      <c r="B243" s="193" t="s">
        <v>2431</v>
      </c>
      <c r="C243" s="193" t="s">
        <v>2863</v>
      </c>
      <c r="D243" s="193" t="s">
        <v>3039</v>
      </c>
      <c r="E243" s="193" t="s">
        <v>3591</v>
      </c>
      <c r="F243" s="193" t="s">
        <v>3592</v>
      </c>
      <c r="G243" s="193" t="s">
        <v>3593</v>
      </c>
      <c r="H243" s="193" t="s">
        <v>3594</v>
      </c>
      <c r="I243" s="193" t="s">
        <v>3595</v>
      </c>
      <c r="J243" s="193" t="s">
        <v>3596</v>
      </c>
      <c r="K243" s="193" t="s">
        <v>3597</v>
      </c>
      <c r="L243" s="193" t="s">
        <v>3598</v>
      </c>
      <c r="M243" s="193" t="s">
        <v>4479</v>
      </c>
    </row>
    <row r="244" spans="1:13" s="220" customFormat="1" ht="42.75">
      <c r="A244" s="193" t="s">
        <v>2969</v>
      </c>
      <c r="B244" s="193" t="s">
        <v>2431</v>
      </c>
      <c r="C244" s="193" t="s">
        <v>2864</v>
      </c>
      <c r="D244" s="193" t="s">
        <v>2943</v>
      </c>
      <c r="E244" s="193" t="s">
        <v>3599</v>
      </c>
      <c r="F244" s="193" t="s">
        <v>3600</v>
      </c>
      <c r="G244" s="193" t="s">
        <v>3601</v>
      </c>
      <c r="H244" s="193" t="s">
        <v>3602</v>
      </c>
      <c r="I244" s="193" t="s">
        <v>3603</v>
      </c>
      <c r="J244" s="193" t="s">
        <v>3604</v>
      </c>
      <c r="K244" s="193" t="s">
        <v>3605</v>
      </c>
      <c r="L244" s="193" t="s">
        <v>3606</v>
      </c>
      <c r="M244" s="193" t="s">
        <v>4480</v>
      </c>
    </row>
    <row r="245" spans="1:13" s="220" customFormat="1" ht="42.75">
      <c r="A245" s="193" t="s">
        <v>2984</v>
      </c>
      <c r="B245" s="193" t="s">
        <v>2431</v>
      </c>
      <c r="C245" s="193" t="s">
        <v>2865</v>
      </c>
      <c r="D245" s="193" t="s">
        <v>4917</v>
      </c>
      <c r="E245" s="193" t="s">
        <v>4943</v>
      </c>
      <c r="F245" s="193" t="s">
        <v>4948</v>
      </c>
      <c r="G245" s="193" t="s">
        <v>4953</v>
      </c>
      <c r="H245" s="193" t="s">
        <v>4958</v>
      </c>
      <c r="I245" s="193" t="s">
        <v>4963</v>
      </c>
      <c r="J245" s="193" t="s">
        <v>4968</v>
      </c>
      <c r="K245" s="193" t="s">
        <v>4973</v>
      </c>
      <c r="L245" s="193" t="s">
        <v>4978</v>
      </c>
      <c r="M245" s="247" t="s">
        <v>4983</v>
      </c>
    </row>
    <row r="246" spans="1:13" s="220" customFormat="1" ht="42.75">
      <c r="A246" s="193" t="s">
        <v>2985</v>
      </c>
      <c r="B246" s="193" t="s">
        <v>2431</v>
      </c>
      <c r="C246" s="193" t="s">
        <v>2866</v>
      </c>
      <c r="D246" s="193" t="s">
        <v>2944</v>
      </c>
      <c r="E246" s="193" t="s">
        <v>3607</v>
      </c>
      <c r="F246" s="193" t="s">
        <v>3608</v>
      </c>
      <c r="G246" s="193" t="s">
        <v>3609</v>
      </c>
      <c r="H246" s="193" t="s">
        <v>3610</v>
      </c>
      <c r="I246" s="193" t="s">
        <v>3611</v>
      </c>
      <c r="J246" s="193" t="s">
        <v>3612</v>
      </c>
      <c r="K246" s="193" t="s">
        <v>3613</v>
      </c>
      <c r="L246" s="193" t="s">
        <v>3614</v>
      </c>
      <c r="M246" s="193" t="s">
        <v>4481</v>
      </c>
    </row>
    <row r="247" spans="1:13" s="220" customFormat="1" ht="57">
      <c r="A247" s="193" t="s">
        <v>2986</v>
      </c>
      <c r="B247" s="193" t="s">
        <v>2431</v>
      </c>
      <c r="C247" s="193" t="s">
        <v>2867</v>
      </c>
      <c r="D247" s="193" t="s">
        <v>2945</v>
      </c>
      <c r="E247" s="193" t="s">
        <v>3615</v>
      </c>
      <c r="F247" s="193" t="s">
        <v>3616</v>
      </c>
      <c r="G247" s="193" t="s">
        <v>3617</v>
      </c>
      <c r="H247" s="193" t="s">
        <v>3618</v>
      </c>
      <c r="I247" s="193" t="s">
        <v>3619</v>
      </c>
      <c r="J247" s="193" t="s">
        <v>3620</v>
      </c>
      <c r="K247" s="193" t="s">
        <v>3621</v>
      </c>
      <c r="L247" s="193" t="s">
        <v>3622</v>
      </c>
      <c r="M247" s="193" t="s">
        <v>4482</v>
      </c>
    </row>
    <row r="248" spans="1:13" s="220" customFormat="1" ht="57">
      <c r="A248" s="193" t="s">
        <v>2987</v>
      </c>
      <c r="B248" s="193" t="s">
        <v>2431</v>
      </c>
      <c r="C248" s="193" t="s">
        <v>2868</v>
      </c>
      <c r="D248" s="193" t="s">
        <v>2946</v>
      </c>
      <c r="E248" s="193" t="s">
        <v>4944</v>
      </c>
      <c r="F248" s="193" t="s">
        <v>4947</v>
      </c>
      <c r="G248" s="193" t="s">
        <v>4954</v>
      </c>
      <c r="H248" s="193" t="s">
        <v>4957</v>
      </c>
      <c r="I248" s="193" t="s">
        <v>4964</v>
      </c>
      <c r="J248" s="193" t="s">
        <v>4967</v>
      </c>
      <c r="K248" s="193" t="s">
        <v>4974</v>
      </c>
      <c r="L248" s="193" t="s">
        <v>4977</v>
      </c>
      <c r="M248" s="247" t="s">
        <v>4984</v>
      </c>
    </row>
    <row r="249" spans="1:13" s="220" customFormat="1" ht="57">
      <c r="A249" s="193" t="s">
        <v>2988</v>
      </c>
      <c r="B249" s="193" t="s">
        <v>2431</v>
      </c>
      <c r="C249" s="193" t="s">
        <v>2869</v>
      </c>
      <c r="D249" s="193" t="s">
        <v>2947</v>
      </c>
      <c r="E249" s="193" t="s">
        <v>3623</v>
      </c>
      <c r="F249" s="193" t="s">
        <v>3624</v>
      </c>
      <c r="G249" s="193" t="s">
        <v>3625</v>
      </c>
      <c r="H249" s="193" t="s">
        <v>3626</v>
      </c>
      <c r="I249" s="193" t="s">
        <v>3627</v>
      </c>
      <c r="J249" s="193" t="s">
        <v>3628</v>
      </c>
      <c r="K249" s="193" t="s">
        <v>3629</v>
      </c>
      <c r="L249" s="193" t="s">
        <v>3630</v>
      </c>
      <c r="M249" s="193" t="s">
        <v>4483</v>
      </c>
    </row>
    <row r="250" spans="1:13" s="220" customFormat="1" ht="42.75">
      <c r="A250" s="193" t="s">
        <v>2989</v>
      </c>
      <c r="B250" s="193" t="s">
        <v>2431</v>
      </c>
      <c r="C250" s="193" t="s">
        <v>2870</v>
      </c>
      <c r="D250" s="193" t="s">
        <v>2910</v>
      </c>
      <c r="E250" s="193" t="s">
        <v>3631</v>
      </c>
      <c r="F250" s="193" t="s">
        <v>3632</v>
      </c>
      <c r="G250" s="193" t="s">
        <v>3633</v>
      </c>
      <c r="H250" s="193" t="s">
        <v>3634</v>
      </c>
      <c r="I250" s="193" t="s">
        <v>3635</v>
      </c>
      <c r="J250" s="193" t="s">
        <v>3636</v>
      </c>
      <c r="K250" s="193" t="s">
        <v>3637</v>
      </c>
      <c r="L250" s="193" t="s">
        <v>3638</v>
      </c>
      <c r="M250" s="193" t="s">
        <v>4484</v>
      </c>
    </row>
    <row r="251" spans="1:13" s="220" customFormat="1" ht="57">
      <c r="A251" s="193" t="s">
        <v>2990</v>
      </c>
      <c r="B251" s="193" t="s">
        <v>2431</v>
      </c>
      <c r="C251" s="193" t="s">
        <v>2871</v>
      </c>
      <c r="D251" s="193" t="s">
        <v>3035</v>
      </c>
      <c r="E251" s="193" t="s">
        <v>3639</v>
      </c>
      <c r="F251" s="193" t="s">
        <v>3640</v>
      </c>
      <c r="G251" s="193" t="s">
        <v>3641</v>
      </c>
      <c r="H251" s="193" t="s">
        <v>3642</v>
      </c>
      <c r="I251" s="193" t="s">
        <v>3643</v>
      </c>
      <c r="J251" s="193" t="s">
        <v>3644</v>
      </c>
      <c r="K251" s="193" t="s">
        <v>3645</v>
      </c>
      <c r="L251" s="193" t="s">
        <v>3646</v>
      </c>
      <c r="M251" s="193" t="s">
        <v>4485</v>
      </c>
    </row>
    <row r="252" spans="1:13" s="220" customFormat="1" ht="57">
      <c r="A252" s="193" t="s">
        <v>2991</v>
      </c>
      <c r="B252" s="193" t="s">
        <v>2431</v>
      </c>
      <c r="C252" s="193" t="s">
        <v>2872</v>
      </c>
      <c r="D252" s="193" t="s">
        <v>3036</v>
      </c>
      <c r="E252" s="193" t="s">
        <v>3647</v>
      </c>
      <c r="F252" s="193" t="s">
        <v>3648</v>
      </c>
      <c r="G252" s="193" t="s">
        <v>3649</v>
      </c>
      <c r="H252" s="193" t="s">
        <v>3650</v>
      </c>
      <c r="I252" s="193" t="s">
        <v>3651</v>
      </c>
      <c r="J252" s="193" t="s">
        <v>3652</v>
      </c>
      <c r="K252" s="193" t="s">
        <v>3653</v>
      </c>
      <c r="L252" s="193" t="s">
        <v>3654</v>
      </c>
      <c r="M252" s="193" t="s">
        <v>4486</v>
      </c>
    </row>
    <row r="253" spans="1:13" s="220" customFormat="1" ht="57">
      <c r="A253" s="193" t="s">
        <v>2992</v>
      </c>
      <c r="B253" s="193" t="s">
        <v>2431</v>
      </c>
      <c r="C253" s="193" t="s">
        <v>2873</v>
      </c>
      <c r="D253" s="193" t="s">
        <v>3037</v>
      </c>
      <c r="E253" s="193" t="s">
        <v>3655</v>
      </c>
      <c r="F253" s="193" t="s">
        <v>3656</v>
      </c>
      <c r="G253" s="193" t="s">
        <v>3657</v>
      </c>
      <c r="H253" s="193" t="s">
        <v>3658</v>
      </c>
      <c r="I253" s="193" t="s">
        <v>3659</v>
      </c>
      <c r="J253" s="193" t="s">
        <v>3660</v>
      </c>
      <c r="K253" s="193" t="s">
        <v>3661</v>
      </c>
      <c r="L253" s="193" t="s">
        <v>3662</v>
      </c>
      <c r="M253" s="193" t="s">
        <v>4487</v>
      </c>
    </row>
    <row r="254" spans="1:13" s="220" customFormat="1" ht="57">
      <c r="A254" s="193" t="s">
        <v>2993</v>
      </c>
      <c r="B254" s="193" t="s">
        <v>2431</v>
      </c>
      <c r="C254" s="193" t="s">
        <v>2874</v>
      </c>
      <c r="D254" s="193" t="s">
        <v>3038</v>
      </c>
      <c r="E254" s="193" t="s">
        <v>3663</v>
      </c>
      <c r="F254" s="193" t="s">
        <v>3664</v>
      </c>
      <c r="G254" s="193" t="s">
        <v>3665</v>
      </c>
      <c r="H254" s="193" t="s">
        <v>3666</v>
      </c>
      <c r="I254" s="193" t="s">
        <v>3667</v>
      </c>
      <c r="J254" s="193" t="s">
        <v>3668</v>
      </c>
      <c r="K254" s="193" t="s">
        <v>3669</v>
      </c>
      <c r="L254" s="193" t="s">
        <v>3670</v>
      </c>
      <c r="M254" s="193" t="s">
        <v>4488</v>
      </c>
    </row>
    <row r="255" spans="1:13" s="220" customFormat="1" ht="71.25">
      <c r="A255" s="193" t="s">
        <v>2994</v>
      </c>
      <c r="B255" s="193" t="s">
        <v>2431</v>
      </c>
      <c r="C255" s="193" t="s">
        <v>2875</v>
      </c>
      <c r="D255" s="193" t="s">
        <v>2911</v>
      </c>
      <c r="E255" s="193" t="s">
        <v>3671</v>
      </c>
      <c r="F255" s="193" t="s">
        <v>3672</v>
      </c>
      <c r="G255" s="193" t="s">
        <v>3673</v>
      </c>
      <c r="H255" s="193" t="s">
        <v>3674</v>
      </c>
      <c r="I255" s="193" t="s">
        <v>3675</v>
      </c>
      <c r="J255" s="193" t="s">
        <v>3676</v>
      </c>
      <c r="K255" s="193" t="s">
        <v>3677</v>
      </c>
      <c r="L255" s="193" t="s">
        <v>3678</v>
      </c>
      <c r="M255" s="193" t="s">
        <v>4489</v>
      </c>
    </row>
    <row r="256" spans="1:13" s="220" customFormat="1" ht="71.25">
      <c r="A256" s="193" t="s">
        <v>2995</v>
      </c>
      <c r="B256" s="193" t="s">
        <v>2431</v>
      </c>
      <c r="C256" s="193" t="s">
        <v>2876</v>
      </c>
      <c r="D256" s="193" t="s">
        <v>2912</v>
      </c>
      <c r="E256" s="193" t="s">
        <v>3679</v>
      </c>
      <c r="F256" s="193" t="s">
        <v>3680</v>
      </c>
      <c r="G256" s="193" t="s">
        <v>3681</v>
      </c>
      <c r="H256" s="193" t="s">
        <v>3682</v>
      </c>
      <c r="I256" s="193" t="s">
        <v>3683</v>
      </c>
      <c r="J256" s="193" t="s">
        <v>3684</v>
      </c>
      <c r="K256" s="193" t="s">
        <v>3685</v>
      </c>
      <c r="L256" s="193" t="s">
        <v>3686</v>
      </c>
      <c r="M256" s="193" t="s">
        <v>4490</v>
      </c>
    </row>
    <row r="257" spans="1:13" s="220" customFormat="1" ht="71.25">
      <c r="A257" s="193" t="s">
        <v>2996</v>
      </c>
      <c r="B257" s="193" t="s">
        <v>2431</v>
      </c>
      <c r="C257" s="193" t="s">
        <v>2877</v>
      </c>
      <c r="D257" s="193" t="s">
        <v>2913</v>
      </c>
      <c r="E257" s="193" t="s">
        <v>3687</v>
      </c>
      <c r="F257" s="193" t="s">
        <v>3688</v>
      </c>
      <c r="G257" s="193" t="s">
        <v>3689</v>
      </c>
      <c r="H257" s="193" t="s">
        <v>3690</v>
      </c>
      <c r="I257" s="193" t="s">
        <v>3691</v>
      </c>
      <c r="J257" s="193" t="s">
        <v>3692</v>
      </c>
      <c r="K257" s="193" t="s">
        <v>3693</v>
      </c>
      <c r="L257" s="193" t="s">
        <v>3694</v>
      </c>
      <c r="M257" s="193" t="s">
        <v>4491</v>
      </c>
    </row>
    <row r="258" spans="1:13" s="220" customFormat="1" ht="71.25">
      <c r="A258" s="193" t="s">
        <v>2997</v>
      </c>
      <c r="B258" s="193" t="s">
        <v>2431</v>
      </c>
      <c r="C258" s="193" t="s">
        <v>2942</v>
      </c>
      <c r="D258" s="193" t="s">
        <v>2914</v>
      </c>
      <c r="E258" s="193" t="s">
        <v>3695</v>
      </c>
      <c r="F258" s="193" t="s">
        <v>3696</v>
      </c>
      <c r="G258" s="193" t="s">
        <v>3697</v>
      </c>
      <c r="H258" s="193" t="s">
        <v>3698</v>
      </c>
      <c r="I258" s="193" t="s">
        <v>3699</v>
      </c>
      <c r="J258" s="193" t="s">
        <v>3700</v>
      </c>
      <c r="K258" s="193" t="s">
        <v>3701</v>
      </c>
      <c r="L258" s="193" t="s">
        <v>3702</v>
      </c>
      <c r="M258" s="193" t="s">
        <v>4492</v>
      </c>
    </row>
    <row r="259" spans="1:13" s="220" customFormat="1" ht="85.5">
      <c r="A259" s="193" t="s">
        <v>2998</v>
      </c>
      <c r="B259" s="193" t="s">
        <v>2431</v>
      </c>
      <c r="C259" s="193" t="s">
        <v>2948</v>
      </c>
      <c r="D259" s="193" t="s">
        <v>2915</v>
      </c>
      <c r="E259" s="193" t="s">
        <v>3703</v>
      </c>
      <c r="F259" s="193" t="s">
        <v>3704</v>
      </c>
      <c r="G259" s="193" t="s">
        <v>3705</v>
      </c>
      <c r="H259" s="193" t="s">
        <v>3706</v>
      </c>
      <c r="I259" s="193" t="s">
        <v>3707</v>
      </c>
      <c r="J259" s="193" t="s">
        <v>3708</v>
      </c>
      <c r="K259" s="193" t="s">
        <v>3709</v>
      </c>
      <c r="L259" s="193" t="s">
        <v>3710</v>
      </c>
      <c r="M259" s="193" t="s">
        <v>4493</v>
      </c>
    </row>
    <row r="260" spans="1:13" s="220" customFormat="1" ht="85.5">
      <c r="A260" s="193" t="s">
        <v>2999</v>
      </c>
      <c r="B260" s="193" t="s">
        <v>2431</v>
      </c>
      <c r="C260" s="193" t="s">
        <v>2949</v>
      </c>
      <c r="D260" s="193" t="s">
        <v>2916</v>
      </c>
      <c r="E260" s="193" t="s">
        <v>3711</v>
      </c>
      <c r="F260" s="193" t="s">
        <v>3712</v>
      </c>
      <c r="G260" s="193" t="s">
        <v>3713</v>
      </c>
      <c r="H260" s="193" t="s">
        <v>3714</v>
      </c>
      <c r="I260" s="193" t="s">
        <v>3715</v>
      </c>
      <c r="J260" s="193" t="s">
        <v>3716</v>
      </c>
      <c r="K260" s="193" t="s">
        <v>3717</v>
      </c>
      <c r="L260" s="193" t="s">
        <v>3718</v>
      </c>
      <c r="M260" s="193" t="s">
        <v>4494</v>
      </c>
    </row>
    <row r="261" spans="1:13" s="220" customFormat="1" ht="85.5">
      <c r="A261" s="193" t="s">
        <v>3000</v>
      </c>
      <c r="B261" s="193" t="s">
        <v>2431</v>
      </c>
      <c r="C261" s="193" t="s">
        <v>2950</v>
      </c>
      <c r="D261" s="193" t="s">
        <v>2917</v>
      </c>
      <c r="E261" s="193" t="s">
        <v>3719</v>
      </c>
      <c r="F261" s="193" t="s">
        <v>3720</v>
      </c>
      <c r="G261" s="193" t="s">
        <v>3721</v>
      </c>
      <c r="H261" s="193" t="s">
        <v>3722</v>
      </c>
      <c r="I261" s="193" t="s">
        <v>3723</v>
      </c>
      <c r="J261" s="193" t="s">
        <v>3724</v>
      </c>
      <c r="K261" s="193" t="s">
        <v>3725</v>
      </c>
      <c r="L261" s="193" t="s">
        <v>3726</v>
      </c>
      <c r="M261" s="193" t="s">
        <v>4495</v>
      </c>
    </row>
    <row r="262" spans="1:13" s="220" customFormat="1" ht="85.5">
      <c r="A262" s="193" t="s">
        <v>3001</v>
      </c>
      <c r="B262" s="193" t="s">
        <v>2431</v>
      </c>
      <c r="C262" s="193" t="s">
        <v>2951</v>
      </c>
      <c r="D262" s="193" t="s">
        <v>2918</v>
      </c>
      <c r="E262" s="193" t="s">
        <v>3727</v>
      </c>
      <c r="F262" s="193" t="s">
        <v>3728</v>
      </c>
      <c r="G262" s="193" t="s">
        <v>3729</v>
      </c>
      <c r="H262" s="193" t="s">
        <v>3730</v>
      </c>
      <c r="I262" s="193" t="s">
        <v>3731</v>
      </c>
      <c r="J262" s="193" t="s">
        <v>3732</v>
      </c>
      <c r="K262" s="193" t="s">
        <v>3733</v>
      </c>
      <c r="L262" s="193" t="s">
        <v>3734</v>
      </c>
      <c r="M262" s="193" t="s">
        <v>4496</v>
      </c>
    </row>
    <row r="263" spans="1:13" s="220" customFormat="1" ht="85.5">
      <c r="A263" s="193" t="s">
        <v>3002</v>
      </c>
      <c r="B263" s="193" t="s">
        <v>2431</v>
      </c>
      <c r="C263" s="193" t="s">
        <v>2952</v>
      </c>
      <c r="D263" s="193" t="s">
        <v>2919</v>
      </c>
      <c r="E263" s="193" t="s">
        <v>3735</v>
      </c>
      <c r="F263" s="193" t="s">
        <v>3736</v>
      </c>
      <c r="G263" s="193" t="s">
        <v>3737</v>
      </c>
      <c r="H263" s="193" t="s">
        <v>3738</v>
      </c>
      <c r="I263" s="193" t="s">
        <v>3739</v>
      </c>
      <c r="J263" s="193" t="s">
        <v>3740</v>
      </c>
      <c r="K263" s="193" t="s">
        <v>3741</v>
      </c>
      <c r="L263" s="193" t="s">
        <v>3742</v>
      </c>
      <c r="M263" s="193" t="s">
        <v>4497</v>
      </c>
    </row>
    <row r="264" spans="1:13" s="220" customFormat="1" ht="85.5">
      <c r="A264" s="193" t="s">
        <v>3003</v>
      </c>
      <c r="B264" s="193" t="s">
        <v>2431</v>
      </c>
      <c r="C264" s="221" t="s">
        <v>2953</v>
      </c>
      <c r="D264" s="221" t="s">
        <v>2920</v>
      </c>
      <c r="E264" s="221" t="s">
        <v>3743</v>
      </c>
      <c r="F264" s="221" t="s">
        <v>3744</v>
      </c>
      <c r="G264" s="221" t="s">
        <v>3745</v>
      </c>
      <c r="H264" s="221" t="s">
        <v>3746</v>
      </c>
      <c r="I264" s="221" t="s">
        <v>3747</v>
      </c>
      <c r="J264" s="221" t="s">
        <v>3748</v>
      </c>
      <c r="K264" s="221" t="s">
        <v>3749</v>
      </c>
      <c r="L264" s="221" t="s">
        <v>3750</v>
      </c>
      <c r="M264" s="221" t="s">
        <v>4498</v>
      </c>
    </row>
    <row r="265" spans="1:13" s="220" customFormat="1" ht="85.5">
      <c r="A265" s="193" t="s">
        <v>3004</v>
      </c>
      <c r="B265" s="193" t="s">
        <v>2431</v>
      </c>
      <c r="C265" s="221" t="s">
        <v>2954</v>
      </c>
      <c r="D265" s="193" t="s">
        <v>2921</v>
      </c>
      <c r="E265" s="193" t="s">
        <v>3751</v>
      </c>
      <c r="F265" s="193" t="s">
        <v>3752</v>
      </c>
      <c r="G265" s="193" t="s">
        <v>3753</v>
      </c>
      <c r="H265" s="193" t="s">
        <v>3754</v>
      </c>
      <c r="I265" s="193" t="s">
        <v>3755</v>
      </c>
      <c r="J265" s="193" t="s">
        <v>3756</v>
      </c>
      <c r="K265" s="193" t="s">
        <v>3757</v>
      </c>
      <c r="L265" s="193" t="s">
        <v>3758</v>
      </c>
      <c r="M265" s="193" t="s">
        <v>4499</v>
      </c>
    </row>
    <row r="266" spans="1:13" s="220" customFormat="1" ht="85.5">
      <c r="A266" s="193" t="s">
        <v>3005</v>
      </c>
      <c r="B266" s="193" t="s">
        <v>2431</v>
      </c>
      <c r="C266" s="193" t="s">
        <v>2955</v>
      </c>
      <c r="D266" s="193" t="s">
        <v>2922</v>
      </c>
      <c r="E266" s="193" t="s">
        <v>3759</v>
      </c>
      <c r="F266" s="193" t="s">
        <v>3760</v>
      </c>
      <c r="G266" s="193" t="s">
        <v>3761</v>
      </c>
      <c r="H266" s="193" t="s">
        <v>3762</v>
      </c>
      <c r="I266" s="193" t="s">
        <v>3763</v>
      </c>
      <c r="J266" s="193" t="s">
        <v>3764</v>
      </c>
      <c r="K266" s="193" t="s">
        <v>3765</v>
      </c>
      <c r="L266" s="193" t="s">
        <v>3766</v>
      </c>
      <c r="M266" s="193" t="s">
        <v>4500</v>
      </c>
    </row>
    <row r="267" spans="1:13" s="220" customFormat="1" ht="57">
      <c r="A267" s="193" t="s">
        <v>3006</v>
      </c>
      <c r="B267" s="193" t="s">
        <v>2431</v>
      </c>
      <c r="C267" s="193" t="s">
        <v>2956</v>
      </c>
      <c r="D267" s="193" t="s">
        <v>2450</v>
      </c>
      <c r="E267" s="193" t="s">
        <v>3767</v>
      </c>
      <c r="F267" s="193" t="s">
        <v>3768</v>
      </c>
      <c r="G267" s="193" t="s">
        <v>3769</v>
      </c>
      <c r="H267" s="193" t="s">
        <v>3770</v>
      </c>
      <c r="I267" s="193" t="s">
        <v>3771</v>
      </c>
      <c r="J267" s="193" t="s">
        <v>3772</v>
      </c>
      <c r="K267" s="193" t="s">
        <v>3773</v>
      </c>
      <c r="L267" s="193" t="s">
        <v>3774</v>
      </c>
      <c r="M267" s="193" t="s">
        <v>4501</v>
      </c>
    </row>
    <row r="268" spans="1:13" s="220" customFormat="1" ht="57">
      <c r="A268" s="193" t="s">
        <v>3007</v>
      </c>
      <c r="B268" s="193" t="s">
        <v>2431</v>
      </c>
      <c r="C268" s="193" t="s">
        <v>2957</v>
      </c>
      <c r="D268" s="193" t="s">
        <v>2451</v>
      </c>
      <c r="E268" s="193" t="s">
        <v>3775</v>
      </c>
      <c r="F268" s="193" t="s">
        <v>3776</v>
      </c>
      <c r="G268" s="193" t="s">
        <v>3777</v>
      </c>
      <c r="H268" s="193" t="s">
        <v>3778</v>
      </c>
      <c r="I268" s="193" t="s">
        <v>3779</v>
      </c>
      <c r="J268" s="193" t="s">
        <v>3780</v>
      </c>
      <c r="K268" s="193" t="s">
        <v>3781</v>
      </c>
      <c r="L268" s="193" t="s">
        <v>3782</v>
      </c>
      <c r="M268" s="193" t="s">
        <v>4502</v>
      </c>
    </row>
    <row r="269" spans="1:13" s="220" customFormat="1" ht="57">
      <c r="A269" s="193" t="s">
        <v>3008</v>
      </c>
      <c r="B269" s="193" t="s">
        <v>2431</v>
      </c>
      <c r="C269" s="193" t="s">
        <v>2958</v>
      </c>
      <c r="D269" s="193" t="s">
        <v>2452</v>
      </c>
      <c r="E269" s="193" t="s">
        <v>3783</v>
      </c>
      <c r="F269" s="193" t="s">
        <v>3784</v>
      </c>
      <c r="G269" s="193" t="s">
        <v>3785</v>
      </c>
      <c r="H269" s="193" t="s">
        <v>3786</v>
      </c>
      <c r="I269" s="193" t="s">
        <v>3787</v>
      </c>
      <c r="J269" s="193" t="s">
        <v>3788</v>
      </c>
      <c r="K269" s="193" t="s">
        <v>3789</v>
      </c>
      <c r="L269" s="193" t="s">
        <v>3790</v>
      </c>
      <c r="M269" s="193" t="s">
        <v>4503</v>
      </c>
    </row>
    <row r="270" spans="1:13" s="220" customFormat="1" ht="57">
      <c r="A270" s="193" t="s">
        <v>3009</v>
      </c>
      <c r="B270" s="193" t="s">
        <v>2431</v>
      </c>
      <c r="C270" s="193" t="s">
        <v>2959</v>
      </c>
      <c r="D270" s="193" t="s">
        <v>2453</v>
      </c>
      <c r="E270" s="193" t="s">
        <v>3791</v>
      </c>
      <c r="F270" s="193" t="s">
        <v>3792</v>
      </c>
      <c r="G270" s="193" t="s">
        <v>3793</v>
      </c>
      <c r="H270" s="193" t="s">
        <v>3794</v>
      </c>
      <c r="I270" s="193" t="s">
        <v>3795</v>
      </c>
      <c r="J270" s="193" t="s">
        <v>3796</v>
      </c>
      <c r="K270" s="193" t="s">
        <v>3797</v>
      </c>
      <c r="L270" s="193" t="s">
        <v>3798</v>
      </c>
      <c r="M270" s="193" t="s">
        <v>4504</v>
      </c>
    </row>
    <row r="271" spans="1:13" s="220" customFormat="1" ht="85.5">
      <c r="A271" s="193" t="s">
        <v>3010</v>
      </c>
      <c r="B271" s="193" t="s">
        <v>2431</v>
      </c>
      <c r="C271" s="193" t="s">
        <v>2960</v>
      </c>
      <c r="D271" s="193" t="s">
        <v>2923</v>
      </c>
      <c r="E271" s="193" t="s">
        <v>3799</v>
      </c>
      <c r="F271" s="193" t="s">
        <v>3800</v>
      </c>
      <c r="G271" s="193" t="s">
        <v>3801</v>
      </c>
      <c r="H271" s="193" t="s">
        <v>3802</v>
      </c>
      <c r="I271" s="193" t="s">
        <v>3803</v>
      </c>
      <c r="J271" s="193" t="s">
        <v>3804</v>
      </c>
      <c r="K271" s="193" t="s">
        <v>3805</v>
      </c>
      <c r="L271" s="193" t="s">
        <v>3806</v>
      </c>
      <c r="M271" s="193" t="s">
        <v>4505</v>
      </c>
    </row>
    <row r="272" spans="1:13" s="220" customFormat="1" ht="85.5">
      <c r="A272" s="193" t="s">
        <v>3011</v>
      </c>
      <c r="B272" s="193" t="s">
        <v>2431</v>
      </c>
      <c r="C272" s="193" t="s">
        <v>2961</v>
      </c>
      <c r="D272" s="193" t="s">
        <v>2924</v>
      </c>
      <c r="E272" s="193" t="s">
        <v>3807</v>
      </c>
      <c r="F272" s="193" t="s">
        <v>3808</v>
      </c>
      <c r="G272" s="193" t="s">
        <v>3809</v>
      </c>
      <c r="H272" s="193" t="s">
        <v>3810</v>
      </c>
      <c r="I272" s="193" t="s">
        <v>3811</v>
      </c>
      <c r="J272" s="193" t="s">
        <v>3812</v>
      </c>
      <c r="K272" s="193" t="s">
        <v>3813</v>
      </c>
      <c r="L272" s="193" t="s">
        <v>3814</v>
      </c>
      <c r="M272" s="193" t="s">
        <v>4506</v>
      </c>
    </row>
    <row r="273" spans="1:13" s="220" customFormat="1" ht="85.5">
      <c r="A273" s="193" t="s">
        <v>3012</v>
      </c>
      <c r="B273" s="193" t="s">
        <v>2431</v>
      </c>
      <c r="C273" s="193" t="s">
        <v>2962</v>
      </c>
      <c r="D273" s="193" t="s">
        <v>2925</v>
      </c>
      <c r="E273" s="193" t="s">
        <v>3815</v>
      </c>
      <c r="F273" s="193" t="s">
        <v>3816</v>
      </c>
      <c r="G273" s="193" t="s">
        <v>3817</v>
      </c>
      <c r="H273" s="193" t="s">
        <v>3818</v>
      </c>
      <c r="I273" s="193" t="s">
        <v>3819</v>
      </c>
      <c r="J273" s="193" t="s">
        <v>3820</v>
      </c>
      <c r="K273" s="193" t="s">
        <v>3821</v>
      </c>
      <c r="L273" s="193" t="s">
        <v>3822</v>
      </c>
      <c r="M273" s="193" t="s">
        <v>4507</v>
      </c>
    </row>
    <row r="274" spans="1:13" s="220" customFormat="1" ht="85.5">
      <c r="A274" s="193" t="s">
        <v>3013</v>
      </c>
      <c r="B274" s="193" t="s">
        <v>2431</v>
      </c>
      <c r="C274" s="193" t="s">
        <v>2963</v>
      </c>
      <c r="D274" s="193" t="s">
        <v>2926</v>
      </c>
      <c r="E274" s="193" t="s">
        <v>3823</v>
      </c>
      <c r="F274" s="193" t="s">
        <v>3824</v>
      </c>
      <c r="G274" s="193" t="s">
        <v>3825</v>
      </c>
      <c r="H274" s="193" t="s">
        <v>3826</v>
      </c>
      <c r="I274" s="193" t="s">
        <v>3827</v>
      </c>
      <c r="J274" s="193" t="s">
        <v>3828</v>
      </c>
      <c r="K274" s="193" t="s">
        <v>3829</v>
      </c>
      <c r="L274" s="193" t="s">
        <v>3830</v>
      </c>
      <c r="M274" s="193" t="s">
        <v>4508</v>
      </c>
    </row>
    <row r="275" spans="1:13" s="220" customFormat="1" ht="57">
      <c r="A275" s="193" t="s">
        <v>3014</v>
      </c>
      <c r="B275" s="193" t="s">
        <v>2431</v>
      </c>
      <c r="C275" s="193" t="s">
        <v>2964</v>
      </c>
      <c r="D275" s="193" t="s">
        <v>2927</v>
      </c>
      <c r="E275" s="193" t="s">
        <v>3831</v>
      </c>
      <c r="F275" s="193" t="s">
        <v>3832</v>
      </c>
      <c r="G275" s="193" t="s">
        <v>3833</v>
      </c>
      <c r="H275" s="193" t="s">
        <v>3834</v>
      </c>
      <c r="I275" s="193" t="s">
        <v>3835</v>
      </c>
      <c r="J275" s="193" t="s">
        <v>3836</v>
      </c>
      <c r="K275" s="193" t="s">
        <v>3837</v>
      </c>
      <c r="L275" s="193" t="s">
        <v>3838</v>
      </c>
      <c r="M275" s="193" t="s">
        <v>4509</v>
      </c>
    </row>
    <row r="276" spans="1:13" s="220" customFormat="1" ht="57">
      <c r="A276" s="193" t="s">
        <v>3015</v>
      </c>
      <c r="B276" s="193" t="s">
        <v>2431</v>
      </c>
      <c r="C276" s="193" t="s">
        <v>2965</v>
      </c>
      <c r="D276" s="193" t="s">
        <v>2928</v>
      </c>
      <c r="E276" s="193" t="s">
        <v>3839</v>
      </c>
      <c r="F276" s="193" t="s">
        <v>3840</v>
      </c>
      <c r="G276" s="193" t="s">
        <v>3841</v>
      </c>
      <c r="H276" s="193" t="s">
        <v>3842</v>
      </c>
      <c r="I276" s="193" t="s">
        <v>3843</v>
      </c>
      <c r="J276" s="193" t="s">
        <v>3844</v>
      </c>
      <c r="K276" s="193" t="s">
        <v>3845</v>
      </c>
      <c r="L276" s="193" t="s">
        <v>3846</v>
      </c>
      <c r="M276" s="193" t="s">
        <v>4510</v>
      </c>
    </row>
    <row r="277" spans="1:13" s="220" customFormat="1" ht="57">
      <c r="A277" s="193" t="s">
        <v>3016</v>
      </c>
      <c r="B277" s="193" t="s">
        <v>2431</v>
      </c>
      <c r="C277" s="193" t="s">
        <v>2966</v>
      </c>
      <c r="D277" s="193" t="s">
        <v>2929</v>
      </c>
      <c r="E277" s="193" t="s">
        <v>3847</v>
      </c>
      <c r="F277" s="193" t="s">
        <v>3848</v>
      </c>
      <c r="G277" s="193" t="s">
        <v>3849</v>
      </c>
      <c r="H277" s="193" t="s">
        <v>3850</v>
      </c>
      <c r="I277" s="193" t="s">
        <v>3851</v>
      </c>
      <c r="J277" s="193" t="s">
        <v>3852</v>
      </c>
      <c r="K277" s="193" t="s">
        <v>3853</v>
      </c>
      <c r="L277" s="193" t="s">
        <v>3854</v>
      </c>
      <c r="M277" s="193" t="s">
        <v>4511</v>
      </c>
    </row>
    <row r="278" spans="1:13" s="220" customFormat="1" ht="57">
      <c r="A278" s="193" t="s">
        <v>3017</v>
      </c>
      <c r="B278" s="193" t="s">
        <v>2431</v>
      </c>
      <c r="C278" s="193" t="s">
        <v>2967</v>
      </c>
      <c r="D278" s="193" t="s">
        <v>2930</v>
      </c>
      <c r="E278" s="193" t="s">
        <v>3855</v>
      </c>
      <c r="F278" s="193" t="s">
        <v>3856</v>
      </c>
      <c r="G278" s="193" t="s">
        <v>3857</v>
      </c>
      <c r="H278" s="193" t="s">
        <v>3858</v>
      </c>
      <c r="I278" s="193" t="s">
        <v>3859</v>
      </c>
      <c r="J278" s="193" t="s">
        <v>3860</v>
      </c>
      <c r="K278" s="193" t="s">
        <v>3861</v>
      </c>
      <c r="L278" s="193" t="s">
        <v>3862</v>
      </c>
      <c r="M278" s="193" t="s">
        <v>4512</v>
      </c>
    </row>
    <row r="279" spans="1:13" s="220" customFormat="1" ht="85.5">
      <c r="A279" s="193" t="s">
        <v>3018</v>
      </c>
      <c r="B279" s="193" t="s">
        <v>2431</v>
      </c>
      <c r="C279" s="193" t="s">
        <v>2971</v>
      </c>
      <c r="D279" s="193" t="s">
        <v>2970</v>
      </c>
      <c r="E279" s="193" t="s">
        <v>3863</v>
      </c>
      <c r="F279" s="193" t="s">
        <v>3864</v>
      </c>
      <c r="G279" s="193" t="s">
        <v>3865</v>
      </c>
      <c r="H279" s="193" t="s">
        <v>3866</v>
      </c>
      <c r="I279" s="193" t="s">
        <v>3867</v>
      </c>
      <c r="J279" s="193" t="s">
        <v>3868</v>
      </c>
      <c r="K279" s="193" t="s">
        <v>3869</v>
      </c>
      <c r="L279" s="193" t="s">
        <v>3870</v>
      </c>
      <c r="M279" s="193" t="s">
        <v>4513</v>
      </c>
    </row>
    <row r="280" spans="1:13" s="220" customFormat="1" ht="99.75">
      <c r="A280" s="193" t="s">
        <v>3019</v>
      </c>
      <c r="B280" s="193" t="s">
        <v>2431</v>
      </c>
      <c r="C280" s="193" t="s">
        <v>2972</v>
      </c>
      <c r="D280" s="193" t="s">
        <v>2932</v>
      </c>
      <c r="E280" s="193" t="s">
        <v>3871</v>
      </c>
      <c r="F280" s="193" t="s">
        <v>3872</v>
      </c>
      <c r="G280" s="193" t="s">
        <v>3873</v>
      </c>
      <c r="H280" s="193" t="s">
        <v>3874</v>
      </c>
      <c r="I280" s="193" t="s">
        <v>3875</v>
      </c>
      <c r="J280" s="193" t="s">
        <v>3876</v>
      </c>
      <c r="K280" s="193" t="s">
        <v>3877</v>
      </c>
      <c r="L280" s="193" t="s">
        <v>3878</v>
      </c>
      <c r="M280" s="193" t="s">
        <v>4514</v>
      </c>
    </row>
    <row r="281" spans="1:13" s="220" customFormat="1" ht="71.25">
      <c r="A281" s="193" t="s">
        <v>3020</v>
      </c>
      <c r="B281" s="193" t="s">
        <v>2431</v>
      </c>
      <c r="C281" s="193" t="s">
        <v>2973</v>
      </c>
      <c r="D281" s="193" t="s">
        <v>3040</v>
      </c>
      <c r="E281" s="193" t="s">
        <v>3879</v>
      </c>
      <c r="F281" s="193" t="s">
        <v>3880</v>
      </c>
      <c r="G281" s="193" t="s">
        <v>3881</v>
      </c>
      <c r="H281" s="193" t="s">
        <v>3882</v>
      </c>
      <c r="I281" s="193" t="s">
        <v>3883</v>
      </c>
      <c r="J281" s="193" t="s">
        <v>3884</v>
      </c>
      <c r="K281" s="193" t="s">
        <v>3885</v>
      </c>
      <c r="L281" s="193" t="s">
        <v>3886</v>
      </c>
      <c r="M281" s="193" t="s">
        <v>4515</v>
      </c>
    </row>
    <row r="282" spans="1:13" s="220" customFormat="1" ht="71.25">
      <c r="A282" s="193" t="s">
        <v>3021</v>
      </c>
      <c r="B282" s="193" t="s">
        <v>2431</v>
      </c>
      <c r="C282" s="193" t="s">
        <v>2974</v>
      </c>
      <c r="D282" s="193" t="s">
        <v>2933</v>
      </c>
      <c r="E282" s="193" t="s">
        <v>3887</v>
      </c>
      <c r="F282" s="193" t="s">
        <v>3888</v>
      </c>
      <c r="G282" s="193" t="s">
        <v>3889</v>
      </c>
      <c r="H282" s="193" t="s">
        <v>3890</v>
      </c>
      <c r="I282" s="193" t="s">
        <v>3891</v>
      </c>
      <c r="J282" s="193" t="s">
        <v>3892</v>
      </c>
      <c r="K282" s="193" t="s">
        <v>3893</v>
      </c>
      <c r="L282" s="193" t="s">
        <v>3894</v>
      </c>
      <c r="M282" s="193" t="s">
        <v>4516</v>
      </c>
    </row>
    <row r="283" spans="1:13" s="220" customFormat="1" ht="128.25">
      <c r="A283" s="193" t="s">
        <v>3022</v>
      </c>
      <c r="B283" s="193" t="s">
        <v>2431</v>
      </c>
      <c r="C283" s="193" t="s">
        <v>2975</v>
      </c>
      <c r="D283" s="193" t="s">
        <v>2934</v>
      </c>
      <c r="E283" s="193" t="s">
        <v>3895</v>
      </c>
      <c r="F283" s="193" t="s">
        <v>3896</v>
      </c>
      <c r="G283" s="193" t="s">
        <v>3897</v>
      </c>
      <c r="H283" s="193" t="s">
        <v>3898</v>
      </c>
      <c r="I283" s="193" t="s">
        <v>3899</v>
      </c>
      <c r="J283" s="193" t="s">
        <v>3900</v>
      </c>
      <c r="K283" s="193" t="s">
        <v>3901</v>
      </c>
      <c r="L283" s="193" t="s">
        <v>3902</v>
      </c>
      <c r="M283" s="193" t="s">
        <v>4517</v>
      </c>
    </row>
    <row r="284" spans="1:13" s="220" customFormat="1" ht="71.25">
      <c r="A284" s="193" t="s">
        <v>3023</v>
      </c>
      <c r="B284" s="193" t="s">
        <v>2431</v>
      </c>
      <c r="C284" s="193" t="s">
        <v>2976</v>
      </c>
      <c r="D284" s="193" t="s">
        <v>2931</v>
      </c>
      <c r="E284" s="193" t="s">
        <v>3903</v>
      </c>
      <c r="F284" s="193" t="s">
        <v>3904</v>
      </c>
      <c r="G284" s="193" t="s">
        <v>3905</v>
      </c>
      <c r="H284" s="193" t="s">
        <v>3906</v>
      </c>
      <c r="I284" s="193" t="s">
        <v>3907</v>
      </c>
      <c r="J284" s="193" t="s">
        <v>3908</v>
      </c>
      <c r="K284" s="193" t="s">
        <v>3909</v>
      </c>
      <c r="L284" s="193" t="s">
        <v>3910</v>
      </c>
      <c r="M284" s="193" t="s">
        <v>4518</v>
      </c>
    </row>
    <row r="285" spans="1:13" s="220" customFormat="1" ht="71.25">
      <c r="A285" s="193" t="s">
        <v>3024</v>
      </c>
      <c r="B285" s="193" t="s">
        <v>2431</v>
      </c>
      <c r="C285" s="193" t="s">
        <v>2977</v>
      </c>
      <c r="D285" s="193" t="s">
        <v>2935</v>
      </c>
      <c r="E285" s="193" t="s">
        <v>3911</v>
      </c>
      <c r="F285" s="193" t="s">
        <v>3912</v>
      </c>
      <c r="G285" s="193" t="s">
        <v>3913</v>
      </c>
      <c r="H285" s="193" t="s">
        <v>3914</v>
      </c>
      <c r="I285" s="193" t="s">
        <v>3915</v>
      </c>
      <c r="J285" s="193" t="s">
        <v>3916</v>
      </c>
      <c r="K285" s="193" t="s">
        <v>3917</v>
      </c>
      <c r="L285" s="193" t="s">
        <v>3918</v>
      </c>
      <c r="M285" s="193" t="s">
        <v>4519</v>
      </c>
    </row>
    <row r="286" spans="1:13" s="220" customFormat="1" ht="57">
      <c r="A286" s="193" t="s">
        <v>3025</v>
      </c>
      <c r="B286" s="193" t="s">
        <v>2431</v>
      </c>
      <c r="C286" s="193" t="s">
        <v>2978</v>
      </c>
      <c r="D286" s="193" t="s">
        <v>2936</v>
      </c>
      <c r="E286" s="193" t="s">
        <v>3919</v>
      </c>
      <c r="F286" s="193" t="s">
        <v>3920</v>
      </c>
      <c r="G286" s="193" t="s">
        <v>3921</v>
      </c>
      <c r="H286" s="193" t="s">
        <v>3922</v>
      </c>
      <c r="I286" s="193" t="s">
        <v>3923</v>
      </c>
      <c r="J286" s="193" t="s">
        <v>3924</v>
      </c>
      <c r="K286" s="193" t="s">
        <v>3925</v>
      </c>
      <c r="L286" s="193" t="s">
        <v>3926</v>
      </c>
      <c r="M286" s="193" t="s">
        <v>4520</v>
      </c>
    </row>
    <row r="287" spans="1:13" s="220" customFormat="1" ht="71.25">
      <c r="A287" s="193" t="s">
        <v>3026</v>
      </c>
      <c r="B287" s="193" t="s">
        <v>2431</v>
      </c>
      <c r="C287" s="193" t="s">
        <v>2979</v>
      </c>
      <c r="D287" s="193" t="s">
        <v>2937</v>
      </c>
      <c r="E287" s="193" t="s">
        <v>3927</v>
      </c>
      <c r="F287" s="193" t="s">
        <v>3928</v>
      </c>
      <c r="G287" s="193" t="s">
        <v>3929</v>
      </c>
      <c r="H287" s="193" t="s">
        <v>3930</v>
      </c>
      <c r="I287" s="193" t="s">
        <v>3931</v>
      </c>
      <c r="J287" s="193" t="s">
        <v>3932</v>
      </c>
      <c r="K287" s="193" t="s">
        <v>3933</v>
      </c>
      <c r="L287" s="193" t="s">
        <v>3934</v>
      </c>
      <c r="M287" s="193" t="s">
        <v>4521</v>
      </c>
    </row>
    <row r="288" spans="1:13" s="220" customFormat="1" ht="57">
      <c r="A288" s="193" t="s">
        <v>3027</v>
      </c>
      <c r="B288" s="193" t="s">
        <v>2431</v>
      </c>
      <c r="C288" s="193" t="s">
        <v>2980</v>
      </c>
      <c r="D288" s="193" t="s">
        <v>2938</v>
      </c>
      <c r="E288" s="193" t="s">
        <v>3935</v>
      </c>
      <c r="F288" s="193" t="s">
        <v>3936</v>
      </c>
      <c r="G288" s="193" t="s">
        <v>3937</v>
      </c>
      <c r="H288" s="193" t="s">
        <v>3938</v>
      </c>
      <c r="I288" s="193" t="s">
        <v>3939</v>
      </c>
      <c r="J288" s="193" t="s">
        <v>3940</v>
      </c>
      <c r="K288" s="193" t="s">
        <v>3941</v>
      </c>
      <c r="L288" s="193" t="s">
        <v>3942</v>
      </c>
      <c r="M288" s="193" t="s">
        <v>4522</v>
      </c>
    </row>
    <row r="289" spans="1:13" s="220" customFormat="1" ht="57">
      <c r="A289" s="193" t="s">
        <v>3028</v>
      </c>
      <c r="B289" s="193" t="s">
        <v>2431</v>
      </c>
      <c r="C289" s="193" t="s">
        <v>2981</v>
      </c>
      <c r="D289" s="193" t="s">
        <v>2939</v>
      </c>
      <c r="E289" s="193" t="s">
        <v>3943</v>
      </c>
      <c r="F289" s="193" t="s">
        <v>3944</v>
      </c>
      <c r="G289" s="193" t="s">
        <v>3945</v>
      </c>
      <c r="H289" s="193" t="s">
        <v>3946</v>
      </c>
      <c r="I289" s="193" t="s">
        <v>3947</v>
      </c>
      <c r="J289" s="193" t="s">
        <v>3948</v>
      </c>
      <c r="K289" s="193" t="s">
        <v>3949</v>
      </c>
      <c r="L289" s="193" t="s">
        <v>3950</v>
      </c>
      <c r="M289" s="193" t="s">
        <v>4523</v>
      </c>
    </row>
    <row r="290" spans="1:13" s="220" customFormat="1" ht="60" customHeight="1">
      <c r="A290" s="193" t="s">
        <v>3029</v>
      </c>
      <c r="B290" s="193" t="s">
        <v>2431</v>
      </c>
      <c r="C290" s="193" t="s">
        <v>2982</v>
      </c>
      <c r="D290" s="193" t="s">
        <v>2941</v>
      </c>
      <c r="E290" s="193" t="s">
        <v>3951</v>
      </c>
      <c r="F290" s="193" t="s">
        <v>3952</v>
      </c>
      <c r="G290" s="193" t="s">
        <v>3953</v>
      </c>
      <c r="H290" s="193" t="s">
        <v>3954</v>
      </c>
      <c r="I290" s="193" t="s">
        <v>3955</v>
      </c>
      <c r="J290" s="193" t="s">
        <v>3956</v>
      </c>
      <c r="K290" s="193" t="s">
        <v>3957</v>
      </c>
      <c r="L290" s="193" t="s">
        <v>3958</v>
      </c>
      <c r="M290" s="193" t="s">
        <v>4524</v>
      </c>
    </row>
    <row r="291" spans="1:13" s="220" customFormat="1" ht="60" customHeight="1">
      <c r="A291" s="193"/>
      <c r="B291" s="193"/>
      <c r="C291" s="193"/>
      <c r="D291" s="193" t="s">
        <v>2940</v>
      </c>
      <c r="E291" s="193" t="s">
        <v>3959</v>
      </c>
      <c r="F291" s="193" t="s">
        <v>3960</v>
      </c>
      <c r="G291" s="193" t="s">
        <v>3961</v>
      </c>
      <c r="H291" s="193" t="s">
        <v>3962</v>
      </c>
      <c r="I291" s="193" t="s">
        <v>3963</v>
      </c>
      <c r="J291" s="193" t="s">
        <v>3964</v>
      </c>
      <c r="K291" s="193" t="s">
        <v>3965</v>
      </c>
      <c r="L291" s="193" t="s">
        <v>3966</v>
      </c>
      <c r="M291" s="193" t="s">
        <v>4525</v>
      </c>
    </row>
    <row r="292" spans="1:13" s="220" customFormat="1" ht="57">
      <c r="A292" s="193" t="s">
        <v>3030</v>
      </c>
      <c r="B292" s="193" t="s">
        <v>2431</v>
      </c>
      <c r="C292" s="193" t="s">
        <v>2983</v>
      </c>
      <c r="D292" s="193" t="s">
        <v>3056</v>
      </c>
      <c r="E292" s="193" t="s">
        <v>3967</v>
      </c>
      <c r="F292" s="193" t="s">
        <v>3968</v>
      </c>
      <c r="G292" s="245" t="s">
        <v>4103</v>
      </c>
      <c r="H292" s="193" t="s">
        <v>3969</v>
      </c>
      <c r="I292" s="193" t="s">
        <v>3970</v>
      </c>
      <c r="J292" s="193" t="s">
        <v>3971</v>
      </c>
      <c r="K292" s="193" t="s">
        <v>3972</v>
      </c>
      <c r="L292" s="193" t="s">
        <v>3973</v>
      </c>
      <c r="M292" s="193" t="s">
        <v>4526</v>
      </c>
    </row>
    <row r="293" spans="1:13" s="220" customFormat="1" ht="57">
      <c r="A293" s="193" t="s">
        <v>3524</v>
      </c>
      <c r="B293" s="193" t="s">
        <v>2431</v>
      </c>
      <c r="C293" s="193" t="s">
        <v>3053</v>
      </c>
      <c r="D293" s="193" t="s">
        <v>3057</v>
      </c>
      <c r="E293" s="193" t="s">
        <v>3974</v>
      </c>
      <c r="F293" s="193" t="s">
        <v>3975</v>
      </c>
      <c r="G293" s="245" t="s">
        <v>4104</v>
      </c>
      <c r="H293" s="193" t="s">
        <v>3976</v>
      </c>
      <c r="I293" s="193" t="s">
        <v>3977</v>
      </c>
      <c r="J293" s="193" t="s">
        <v>3978</v>
      </c>
      <c r="K293" s="193" t="s">
        <v>3979</v>
      </c>
      <c r="L293" s="193" t="s">
        <v>3980</v>
      </c>
      <c r="M293" s="193" t="s">
        <v>4527</v>
      </c>
    </row>
    <row r="294" spans="1:13" s="220" customFormat="1" ht="57">
      <c r="A294" s="193" t="s">
        <v>3525</v>
      </c>
      <c r="B294" s="193" t="s">
        <v>2431</v>
      </c>
      <c r="C294" s="193" t="s">
        <v>3054</v>
      </c>
      <c r="D294" s="193" t="s">
        <v>3058</v>
      </c>
      <c r="E294" s="193" t="s">
        <v>3981</v>
      </c>
      <c r="F294" s="193" t="s">
        <v>3982</v>
      </c>
      <c r="G294" s="245" t="s">
        <v>4106</v>
      </c>
      <c r="H294" s="193" t="s">
        <v>3983</v>
      </c>
      <c r="I294" s="193" t="s">
        <v>3984</v>
      </c>
      <c r="J294" s="193" t="s">
        <v>3985</v>
      </c>
      <c r="K294" s="193" t="s">
        <v>3986</v>
      </c>
      <c r="L294" s="193" t="s">
        <v>3987</v>
      </c>
      <c r="M294" s="193" t="s">
        <v>4528</v>
      </c>
    </row>
    <row r="295" spans="1:13" s="220" customFormat="1" ht="71.25">
      <c r="A295" s="193" t="s">
        <v>3526</v>
      </c>
      <c r="B295" s="193" t="s">
        <v>2431</v>
      </c>
      <c r="C295" s="193" t="s">
        <v>3055</v>
      </c>
      <c r="D295" s="193" t="s">
        <v>3059</v>
      </c>
      <c r="E295" s="193" t="s">
        <v>3988</v>
      </c>
      <c r="F295" s="193" t="s">
        <v>3989</v>
      </c>
      <c r="G295" s="245" t="s">
        <v>4105</v>
      </c>
      <c r="H295" s="193" t="s">
        <v>3990</v>
      </c>
      <c r="I295" s="193" t="s">
        <v>3991</v>
      </c>
      <c r="J295" s="193" t="s">
        <v>3992</v>
      </c>
      <c r="K295" s="193" t="s">
        <v>3993</v>
      </c>
      <c r="L295" s="193" t="s">
        <v>3994</v>
      </c>
      <c r="M295" s="193" t="s">
        <v>4529</v>
      </c>
    </row>
    <row r="296" spans="1:13" s="220" customFormat="1" ht="30">
      <c r="A296" s="193" t="str">
        <f t="shared" ref="A296:A304" si="4">B296&amp;C296</f>
        <v>CheckerL62</v>
      </c>
      <c r="B296" s="193" t="s">
        <v>2431</v>
      </c>
      <c r="C296" s="193" t="s">
        <v>4007</v>
      </c>
      <c r="D296" s="193" t="s">
        <v>4006</v>
      </c>
      <c r="E296" s="277" t="s">
        <v>4011</v>
      </c>
      <c r="F296" s="125" t="s">
        <v>4012</v>
      </c>
      <c r="G296" s="273" t="s">
        <v>4102</v>
      </c>
      <c r="H296" s="193" t="s">
        <v>4013</v>
      </c>
      <c r="I296" s="193" t="s">
        <v>4014</v>
      </c>
      <c r="J296" s="193" t="s">
        <v>4015</v>
      </c>
      <c r="K296" s="273" t="s">
        <v>4016</v>
      </c>
      <c r="L296" s="273" t="s">
        <v>4017</v>
      </c>
      <c r="M296" s="193" t="s">
        <v>4530</v>
      </c>
    </row>
    <row r="297" spans="1:13" s="220" customFormat="1" ht="30">
      <c r="A297" s="193" t="str">
        <f t="shared" si="4"/>
        <v>CheckerL63</v>
      </c>
      <c r="B297" s="193" t="s">
        <v>2431</v>
      </c>
      <c r="C297" s="193" t="s">
        <v>4008</v>
      </c>
      <c r="D297" s="193" t="s">
        <v>4006</v>
      </c>
      <c r="E297" s="277" t="s">
        <v>4011</v>
      </c>
      <c r="F297" s="125" t="s">
        <v>4012</v>
      </c>
      <c r="G297" s="273" t="s">
        <v>4102</v>
      </c>
      <c r="H297" s="193" t="s">
        <v>4013</v>
      </c>
      <c r="I297" s="193" t="s">
        <v>4014</v>
      </c>
      <c r="J297" s="193" t="s">
        <v>4015</v>
      </c>
      <c r="K297" s="273" t="s">
        <v>4016</v>
      </c>
      <c r="L297" s="273" t="s">
        <v>4017</v>
      </c>
      <c r="M297" s="193" t="s">
        <v>4530</v>
      </c>
    </row>
    <row r="298" spans="1:13" ht="30">
      <c r="A298" s="193" t="str">
        <f t="shared" si="4"/>
        <v>CheckerL64</v>
      </c>
      <c r="B298" s="193" t="s">
        <v>2431</v>
      </c>
      <c r="C298" s="193" t="s">
        <v>4009</v>
      </c>
      <c r="D298" s="193" t="s">
        <v>4006</v>
      </c>
      <c r="E298" s="277" t="s">
        <v>4011</v>
      </c>
      <c r="F298" s="125" t="s">
        <v>4012</v>
      </c>
      <c r="G298" s="273" t="s">
        <v>4102</v>
      </c>
      <c r="H298" s="193" t="s">
        <v>4013</v>
      </c>
      <c r="I298" s="193" t="s">
        <v>4014</v>
      </c>
      <c r="J298" s="193" t="s">
        <v>4015</v>
      </c>
      <c r="K298" s="273" t="s">
        <v>4016</v>
      </c>
      <c r="L298" s="273" t="s">
        <v>4017</v>
      </c>
      <c r="M298" s="193" t="s">
        <v>4530</v>
      </c>
    </row>
    <row r="299" spans="1:13" ht="30">
      <c r="A299" s="193" t="str">
        <f t="shared" si="4"/>
        <v>CheckerL65</v>
      </c>
      <c r="B299" s="193" t="s">
        <v>2431</v>
      </c>
      <c r="C299" s="193" t="s">
        <v>4010</v>
      </c>
      <c r="D299" s="193" t="s">
        <v>4006</v>
      </c>
      <c r="E299" s="277" t="s">
        <v>4011</v>
      </c>
      <c r="F299" s="125" t="s">
        <v>4012</v>
      </c>
      <c r="G299" s="273" t="s">
        <v>4102</v>
      </c>
      <c r="H299" s="193" t="s">
        <v>4013</v>
      </c>
      <c r="I299" s="193" t="s">
        <v>4014</v>
      </c>
      <c r="J299" s="193" t="s">
        <v>4015</v>
      </c>
      <c r="K299" s="273" t="s">
        <v>4016</v>
      </c>
      <c r="L299" s="273" t="s">
        <v>4017</v>
      </c>
      <c r="M299" s="193" t="s">
        <v>4530</v>
      </c>
    </row>
    <row r="300" spans="1:13" ht="57">
      <c r="A300" s="193" t="str">
        <f t="shared" si="4"/>
        <v>Product ListA1</v>
      </c>
      <c r="B300" s="193" t="s">
        <v>2514</v>
      </c>
      <c r="C300" s="193" t="s">
        <v>1185</v>
      </c>
      <c r="D300" s="278" t="s">
        <v>1209</v>
      </c>
      <c r="E300" s="195" t="s">
        <v>469</v>
      </c>
      <c r="F300" s="195" t="s">
        <v>623</v>
      </c>
      <c r="G300" s="193" t="s">
        <v>1016</v>
      </c>
      <c r="H300" s="193" t="s">
        <v>704</v>
      </c>
      <c r="I300" s="193" t="s">
        <v>381</v>
      </c>
      <c r="J300" s="279" t="s">
        <v>2589</v>
      </c>
      <c r="K300" s="196" t="s">
        <v>165</v>
      </c>
      <c r="L300" s="276" t="s">
        <v>95</v>
      </c>
      <c r="M300" s="278" t="s">
        <v>4531</v>
      </c>
    </row>
    <row r="301" spans="1:13" ht="17.25">
      <c r="A301" s="193" t="str">
        <f t="shared" si="4"/>
        <v>Product ListB5</v>
      </c>
      <c r="B301" s="193" t="s">
        <v>2514</v>
      </c>
      <c r="C301" s="193" t="s">
        <v>1815</v>
      </c>
      <c r="D301" s="278" t="s">
        <v>925</v>
      </c>
      <c r="E301" s="195" t="s">
        <v>2744</v>
      </c>
      <c r="F301" s="195" t="s">
        <v>624</v>
      </c>
      <c r="G301" s="193" t="s">
        <v>1017</v>
      </c>
      <c r="H301" s="193" t="s">
        <v>705</v>
      </c>
      <c r="I301" s="193" t="s">
        <v>382</v>
      </c>
      <c r="J301" s="278" t="s">
        <v>2334</v>
      </c>
      <c r="K301" s="196" t="s">
        <v>166</v>
      </c>
      <c r="L301" s="280" t="s">
        <v>96</v>
      </c>
      <c r="M301" s="278" t="s">
        <v>4532</v>
      </c>
    </row>
    <row r="302" spans="1:13" ht="28.5">
      <c r="A302" s="193" t="str">
        <f t="shared" si="4"/>
        <v>Product ListC5</v>
      </c>
      <c r="B302" s="193" t="s">
        <v>2514</v>
      </c>
      <c r="C302" s="193" t="s">
        <v>1836</v>
      </c>
      <c r="D302" s="278" t="s">
        <v>926</v>
      </c>
      <c r="E302" s="195" t="s">
        <v>470</v>
      </c>
      <c r="F302" s="195" t="s">
        <v>625</v>
      </c>
      <c r="G302" s="193" t="s">
        <v>1018</v>
      </c>
      <c r="H302" s="193" t="s">
        <v>706</v>
      </c>
      <c r="I302" s="193" t="s">
        <v>383</v>
      </c>
      <c r="J302" s="278" t="s">
        <v>1798</v>
      </c>
      <c r="K302" s="196" t="s">
        <v>167</v>
      </c>
      <c r="L302" s="280" t="s">
        <v>97</v>
      </c>
      <c r="M302" s="278" t="s">
        <v>4533</v>
      </c>
    </row>
    <row r="303" spans="1:13" ht="28.5">
      <c r="A303" s="193" t="str">
        <f t="shared" si="4"/>
        <v>Product ListD5</v>
      </c>
      <c r="B303" s="193" t="s">
        <v>2514</v>
      </c>
      <c r="C303" s="193" t="s">
        <v>2515</v>
      </c>
      <c r="D303" s="278" t="s">
        <v>1471</v>
      </c>
      <c r="E303" s="193" t="s">
        <v>471</v>
      </c>
      <c r="F303" s="195" t="s">
        <v>2000</v>
      </c>
      <c r="G303" s="193" t="s">
        <v>1779</v>
      </c>
      <c r="H303" s="193" t="s">
        <v>1780</v>
      </c>
      <c r="I303" s="193" t="s">
        <v>1781</v>
      </c>
      <c r="J303" s="278" t="s">
        <v>1912</v>
      </c>
      <c r="K303" s="196" t="s">
        <v>1782</v>
      </c>
      <c r="L303" s="280" t="s">
        <v>862</v>
      </c>
      <c r="M303" s="278" t="s">
        <v>4432</v>
      </c>
    </row>
    <row r="304" spans="1:13" ht="28.5">
      <c r="A304" s="193" t="str">
        <f t="shared" si="4"/>
        <v>GeneralCpy</v>
      </c>
      <c r="B304" s="193" t="s">
        <v>902</v>
      </c>
      <c r="C304" s="193" t="s">
        <v>903</v>
      </c>
      <c r="D304" s="193" t="s">
        <v>4642</v>
      </c>
      <c r="E304" s="193" t="s">
        <v>4642</v>
      </c>
      <c r="F304" s="193" t="s">
        <v>4642</v>
      </c>
      <c r="G304" s="193" t="s">
        <v>4642</v>
      </c>
      <c r="H304" s="193" t="s">
        <v>4642</v>
      </c>
      <c r="I304" s="193" t="s">
        <v>4642</v>
      </c>
      <c r="J304" s="193" t="s">
        <v>4642</v>
      </c>
      <c r="K304" s="193" t="s">
        <v>4642</v>
      </c>
      <c r="L304" s="259" t="s">
        <v>190</v>
      </c>
      <c r="M304" s="193" t="s">
        <v>4643</v>
      </c>
    </row>
    <row r="305" spans="1:13">
      <c r="A305" s="193" t="s">
        <v>2878</v>
      </c>
      <c r="B305" s="193" t="s">
        <v>902</v>
      </c>
      <c r="M305" s="193"/>
    </row>
    <row r="306" spans="1:13">
      <c r="M306" s="193"/>
    </row>
    <row r="307" spans="1:13" ht="99.75">
      <c r="A307" s="193" t="s">
        <v>1471</v>
      </c>
      <c r="D307" s="193" t="s">
        <v>4935</v>
      </c>
      <c r="E307" s="193" t="s">
        <v>4945</v>
      </c>
      <c r="F307" s="193" t="s">
        <v>4946</v>
      </c>
      <c r="G307" s="193" t="s">
        <v>4955</v>
      </c>
      <c r="H307" s="193" t="s">
        <v>4956</v>
      </c>
      <c r="I307" s="193" t="s">
        <v>4965</v>
      </c>
      <c r="J307" s="193" t="s">
        <v>4966</v>
      </c>
      <c r="K307" s="193" t="s">
        <v>4975</v>
      </c>
      <c r="L307" s="259" t="s">
        <v>4976</v>
      </c>
      <c r="M307" s="193" t="s">
        <v>4985</v>
      </c>
    </row>
    <row r="308" spans="1:13" ht="28.5">
      <c r="A308" s="193" t="s">
        <v>1471</v>
      </c>
      <c r="D308" s="193" t="s">
        <v>492</v>
      </c>
      <c r="E308" s="193" t="s">
        <v>511</v>
      </c>
      <c r="F308" s="193" t="s">
        <v>516</v>
      </c>
      <c r="G308" s="196" t="s">
        <v>512</v>
      </c>
      <c r="H308" s="193" t="s">
        <v>185</v>
      </c>
      <c r="I308" s="193" t="s">
        <v>384</v>
      </c>
      <c r="J308" s="193" t="s">
        <v>2590</v>
      </c>
      <c r="K308" s="193" t="s">
        <v>173</v>
      </c>
      <c r="L308" s="267" t="s">
        <v>509</v>
      </c>
      <c r="M308" s="193" t="s">
        <v>4534</v>
      </c>
    </row>
    <row r="309" spans="1:13" ht="42.75">
      <c r="A309" s="193" t="s">
        <v>1471</v>
      </c>
      <c r="D309" s="193" t="s">
        <v>493</v>
      </c>
      <c r="E309" s="193" t="s">
        <v>494</v>
      </c>
      <c r="F309" s="193" t="s">
        <v>517</v>
      </c>
      <c r="G309" s="196" t="s">
        <v>513</v>
      </c>
      <c r="H309" s="193" t="s">
        <v>186</v>
      </c>
      <c r="I309" s="193" t="s">
        <v>385</v>
      </c>
      <c r="J309" s="193" t="s">
        <v>2612</v>
      </c>
      <c r="K309" s="193" t="s">
        <v>174</v>
      </c>
      <c r="L309" s="267" t="s">
        <v>495</v>
      </c>
      <c r="M309" s="193" t="s">
        <v>4535</v>
      </c>
    </row>
    <row r="310" spans="1:13" ht="99.75">
      <c r="A310" s="193" t="s">
        <v>1471</v>
      </c>
      <c r="D310" s="193" t="s">
        <v>486</v>
      </c>
      <c r="E310" s="193" t="s">
        <v>487</v>
      </c>
      <c r="F310" s="193" t="s">
        <v>488</v>
      </c>
      <c r="G310" s="196" t="s">
        <v>514</v>
      </c>
      <c r="H310" s="193" t="s">
        <v>187</v>
      </c>
      <c r="I310" s="193" t="s">
        <v>386</v>
      </c>
      <c r="J310" s="193" t="s">
        <v>489</v>
      </c>
      <c r="K310" s="193" t="s">
        <v>490</v>
      </c>
      <c r="L310" s="267" t="s">
        <v>491</v>
      </c>
      <c r="M310" s="193" t="s">
        <v>4536</v>
      </c>
    </row>
    <row r="311" spans="1:13" ht="42.75">
      <c r="A311" s="193" t="s">
        <v>1471</v>
      </c>
      <c r="D311" s="193" t="s">
        <v>475</v>
      </c>
      <c r="E311" s="193" t="s">
        <v>476</v>
      </c>
      <c r="F311" s="193" t="s">
        <v>518</v>
      </c>
      <c r="G311" s="196" t="s">
        <v>477</v>
      </c>
      <c r="H311" s="193" t="s">
        <v>188</v>
      </c>
      <c r="I311" s="193" t="s">
        <v>387</v>
      </c>
      <c r="J311" s="193" t="s">
        <v>2591</v>
      </c>
      <c r="K311" s="193" t="s">
        <v>177</v>
      </c>
      <c r="L311" s="267" t="s">
        <v>510</v>
      </c>
      <c r="M311" s="193" t="s">
        <v>4537</v>
      </c>
    </row>
    <row r="312" spans="1:13" ht="42.75">
      <c r="A312" s="193" t="s">
        <v>1471</v>
      </c>
      <c r="D312" s="193" t="s">
        <v>478</v>
      </c>
      <c r="E312" s="193" t="s">
        <v>479</v>
      </c>
      <c r="F312" s="193" t="s">
        <v>519</v>
      </c>
      <c r="G312" s="196" t="s">
        <v>480</v>
      </c>
      <c r="H312" s="193" t="s">
        <v>189</v>
      </c>
      <c r="I312" s="193" t="s">
        <v>388</v>
      </c>
      <c r="J312" s="193" t="s">
        <v>2592</v>
      </c>
      <c r="K312" s="193" t="s">
        <v>175</v>
      </c>
      <c r="L312" s="267" t="s">
        <v>481</v>
      </c>
      <c r="M312" s="193" t="s">
        <v>4538</v>
      </c>
    </row>
    <row r="313" spans="1:13" ht="156.75">
      <c r="A313" s="193" t="s">
        <v>1471</v>
      </c>
      <c r="D313" s="193" t="s">
        <v>485</v>
      </c>
      <c r="E313" s="193" t="s">
        <v>482</v>
      </c>
      <c r="F313" s="193" t="s">
        <v>520</v>
      </c>
      <c r="G313" s="196" t="s">
        <v>515</v>
      </c>
      <c r="H313" s="193" t="s">
        <v>483</v>
      </c>
      <c r="I313" s="193" t="s">
        <v>389</v>
      </c>
      <c r="J313" s="193" t="s">
        <v>2593</v>
      </c>
      <c r="K313" s="193" t="s">
        <v>176</v>
      </c>
      <c r="L313" s="267" t="s">
        <v>484</v>
      </c>
      <c r="M313" s="193" t="s">
        <v>4539</v>
      </c>
    </row>
  </sheetData>
  <phoneticPr fontId="3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Revision</vt:lpstr>
      <vt:lpstr>Instructions</vt:lpstr>
      <vt:lpstr>Definitions</vt:lpstr>
      <vt:lpstr>Declaration</vt:lpstr>
      <vt:lpstr>Smelter List</vt:lpstr>
      <vt:lpstr>Checker</vt:lpstr>
      <vt:lpstr>Product List</vt:lpstr>
      <vt:lpstr>Smelter Reference List</vt:lpstr>
      <vt:lpstr>L</vt:lpstr>
      <vt:lpstr>C</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vt:lpstr>
      <vt:lpstr>SmelterIdetifiedForMetal</vt:lpstr>
    </vt:vector>
  </TitlesOfParts>
  <Company>EICC/CFSI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brian</cp:lastModifiedBy>
  <cp:lastPrinted>2015-04-21T20:47:43Z</cp:lastPrinted>
  <dcterms:created xsi:type="dcterms:W3CDTF">2010-06-21T21:00:23Z</dcterms:created>
  <dcterms:modified xsi:type="dcterms:W3CDTF">2017-01-30T17:35:19Z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